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iJb9fjRwTIif2gPHFEoVk/vUrVeHDlAsH1368pKReP5Tigp8eWyUmcubQV4g3enax5yOde2pRKP06UNOOSvZTg==" workbookSaltValue="q/kkqn36/XU60HrGLq23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Y32" i="20"/>
  <c r="L32" i="20"/>
  <c r="H32" i="20"/>
  <c r="F32" i="20"/>
  <c r="G26" i="14"/>
  <c r="S32" i="20"/>
  <c r="AQ32" i="21"/>
  <c r="AJ32" i="20"/>
  <c r="AX32" i="20"/>
  <c r="AG32" i="20"/>
  <c r="T32" i="21"/>
  <c r="AF32" i="20"/>
  <c r="K32" i="20"/>
  <c r="O17" i="11"/>
  <c r="L17" i="14" l="1"/>
  <c r="BF17" i="8"/>
  <c r="BF16" i="8"/>
  <c r="E23" i="12"/>
  <c r="F28" i="2"/>
  <c r="F16" i="11"/>
  <c r="AQ16" i="11" s="1"/>
  <c r="R8" i="9"/>
  <c r="BF16" i="13"/>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16" i="12"/>
  <c r="K9" i="12"/>
  <c r="BJ22" i="11"/>
  <c r="BM17" i="11"/>
  <c r="BF21" i="11"/>
  <c r="BF17" i="11"/>
  <c r="BL12" i="11"/>
  <c r="BK21" i="11"/>
  <c r="V11" i="11"/>
  <c r="BM12" i="11"/>
  <c r="V13"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L19" i="11"/>
  <c r="BJ18" i="11"/>
  <c r="BG10" i="11"/>
  <c r="V11" i="16"/>
  <c r="V25" i="11"/>
  <c r="BF10" i="11"/>
  <c r="BI25" i="11"/>
  <c r="BI19" i="11"/>
  <c r="BL25" i="11"/>
  <c r="Q25" i="11" s="1"/>
  <c r="AZ9" i="11"/>
  <c r="BV10" i="16"/>
  <c r="S22" i="17"/>
  <c r="BF20" i="11"/>
  <c r="BL20" i="11"/>
  <c r="BH21" i="11"/>
  <c r="BK17" i="11"/>
  <c r="BM18" i="11"/>
  <c r="BH17" i="11"/>
  <c r="BH25" i="11"/>
  <c r="BI21" i="11"/>
  <c r="X12" i="17"/>
  <c r="X22" i="16"/>
  <c r="X10" i="21"/>
  <c r="V9" i="16"/>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2" i="2"/>
  <c r="S16" i="17"/>
  <c r="S17" i="17"/>
  <c r="X19" i="16"/>
  <c r="U9" i="17"/>
  <c r="U31" i="17" s="1"/>
  <c r="AP22" i="20"/>
  <c r="R25" i="14"/>
  <c r="T16" i="16"/>
  <c r="BV19" i="16"/>
  <c r="BW18" i="20"/>
  <c r="BW12" i="20"/>
  <c r="BW16" i="20"/>
  <c r="V12" i="16"/>
  <c r="S16" i="16"/>
  <c r="S23" i="16" s="1"/>
  <c r="BL16" i="11"/>
  <c r="AZ25" i="11"/>
  <c r="AZ30" i="11" s="1"/>
  <c r="AQ12" i="21"/>
  <c r="L12" i="2"/>
  <c r="L20" i="2"/>
  <c r="V10" i="16"/>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26" i="11"/>
  <c r="S31" i="16"/>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BB32" i="16"/>
  <c r="K32" i="11"/>
  <c r="K32" i="17"/>
  <c r="U32" i="16"/>
  <c r="AJ32" i="16"/>
  <c r="AD32" i="11"/>
  <c r="AR32" i="16"/>
  <c r="BJ32" i="16"/>
  <c r="AR32" i="11"/>
  <c r="AN32" i="11"/>
  <c r="Y32" i="21"/>
  <c r="BQ32" i="16"/>
  <c r="F32" i="21"/>
  <c r="Z32" i="11"/>
  <c r="W32" i="17"/>
  <c r="AV32" i="16"/>
  <c r="W32" i="11"/>
  <c r="W32" i="16"/>
  <c r="AM32" i="21"/>
  <c r="U32" i="21"/>
  <c r="AK32" i="21"/>
  <c r="AX32" i="16"/>
  <c r="AQ32" i="16"/>
  <c r="J32" i="21"/>
  <c r="AU32" i="11"/>
  <c r="AM32" i="16"/>
  <c r="D32" i="12"/>
  <c r="AI32" i="17"/>
  <c r="AC32" i="21"/>
  <c r="AT32" i="11"/>
  <c r="R32" i="11"/>
  <c r="H32" i="21"/>
  <c r="N32" i="11"/>
  <c r="BA32" i="16"/>
  <c r="R32" i="21"/>
  <c r="AO32" i="16"/>
  <c r="J32" i="12"/>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AS32" i="11"/>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E32" i="12"/>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<sst xmlns="http://schemas.openxmlformats.org/spreadsheetml/2006/main" count="2654" uniqueCount="1184">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</sst>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rTLIDKud3fKPj4Tk3Kz8Mf/ZogUMXsL8yDxBbJLN2XJXxO6JbUFTIDTSbil262lnNUZvlFriMrZa9+FEoqbNg==" saltValue="3KHRLXfBxOTaTvaLsSly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16.755813953488371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22</v>
      </c>
      <c r="F10" s="240">
        <f>IF(ISNUMBER(Datos!K10),Datos!K10," - ")</f>
        <v>21</v>
      </c>
      <c r="G10" s="1390" t="str">
        <f>IF(Datos!E10&lt;&gt;"",Datos!E10,Datos!D10)</f>
        <v>37</v>
      </c>
      <c r="H10" s="241">
        <f>IF(ISNUMBER(Datos!L10),Datos!L10," - ")</f>
        <v>39</v>
      </c>
      <c r="I10" s="1400" t="str">
        <f>IF(ISNUMBER(Datos!AS10/Datos!BM10),Datos!AS10/Datos!BM10," - ")</f>
        <v xml:space="preserve"> - </v>
      </c>
      <c r="J10" s="1401">
        <f>IF(ISNUMBER(Datos!BY10/Datos!CN10),Datos!BY10/Datos!CN10," - ")</f>
        <v>0</v>
      </c>
      <c r="K10" s="244">
        <f t="shared" ref="K10:K13" si="1">IF(ISNUMBER((E10-F10)/C10),(E10-F10)/C10," - ")</f>
        <v>2.6315789473684209E-2</v>
      </c>
      <c r="L10" s="1402">
        <f>IF(ISNUMBER(NºAsuntos!I10/NºAsuntos!G10),(NºAsuntos!I10/NºAsuntos!G10)*11," - ")</f>
        <v>20.428571428571431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15.86214442013129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22</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2666</v>
      </c>
      <c r="D16" s="239">
        <f>IF(ISNUMBER(IF(D_I="SI",Datos!I16,Datos!I16+Datos!AC16)),IF(D_I="SI",Datos!I16,Datos!I16+Datos!AC16)," - ")</f>
        <v>2642</v>
      </c>
      <c r="E16" s="240">
        <f>IF(ISNUMBER(IF(D_I="SI",Datos!J16,Datos!J16+Datos!AD16)),IF(D_I="SI",Datos!J16,Datos!J16+Datos!AD16)," - ")</f>
        <v>3004</v>
      </c>
      <c r="F16" s="240">
        <f>IF(ISNUMBER(IF(D_I="SI",Datos!K16,Datos!K16+Datos!AE16)),IF(D_I="SI",Datos!K16,Datos!K16+Datos!AE16)," - ")</f>
        <v>3023</v>
      </c>
      <c r="G16" s="1390" t="str">
        <f>IF(Datos!E16&lt;&gt;"",Datos!E16,Datos!D16)</f>
        <v>03</v>
      </c>
      <c r="H16" s="241">
        <f>IF(ISNUMBER(IF(D_I="SI",Datos!L16,Datos!L16+Datos!AF16)),IF(D_I="SI",Datos!L16,Datos!L16+Datos!AF16)," - ")</f>
        <v>2647</v>
      </c>
      <c r="I16" s="1400" t="str">
        <f>IF(ISNUMBER(Datos!AS16/Datos!BM16),Datos!AS16/Datos!BM16," - ")</f>
        <v xml:space="preserve"> - </v>
      </c>
      <c r="J16" s="1401">
        <f>IF(ISNUMBER(Datos!BY16/Datos!CN16),Datos!BY16/Datos!CN16," - ")</f>
        <v>0</v>
      </c>
      <c r="K16" s="244">
        <f t="shared" ref="K16:K22" si="3">IF(ISNUMBER((E16-F16)/C16),(E16-F16)/C16," - ")</f>
        <v>-7.1267816954238561E-3</v>
      </c>
      <c r="L16" s="1402">
        <f>IF(ISNUMBER(NºAsuntos!I16/NºAsuntos!G16),(NºAsuntos!I16/NºAsuntos!G16)*11," - ")</f>
        <v>9.6318226926893811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88</v>
      </c>
      <c r="D18" s="239">
        <f>IF(ISNUMBER(IF(D_I="SI",Datos!I18,Datos!I18+Datos!AC18)),IF(D_I="SI",Datos!I18,Datos!I18+Datos!AC18)," - ")</f>
        <v>88</v>
      </c>
      <c r="E18" s="240">
        <f>IF(ISNUMBER(IF(D_I="SI",Datos!J18,Datos!J18+Datos!AD18)),IF(D_I="SI",Datos!J18,Datos!J18+Datos!AD18)," - ")</f>
        <v>299</v>
      </c>
      <c r="F18" s="240">
        <f>IF(ISNUMBER(IF(D_I="SI",Datos!K18,Datos!K18+Datos!AE18)),IF(D_I="SI",Datos!K18,Datos!K18+Datos!AE18)," - ")</f>
        <v>274</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0.28409090909090912</v>
      </c>
      <c r="L18" s="1402">
        <f>IF(ISNUMBER(NºAsuntos!I18/NºAsuntos!G18),(NºAsuntos!I18/NºAsuntos!G18)*11," - ")</f>
        <v>4.5364963503649633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2756</v>
      </c>
      <c r="D23" s="1407">
        <f>SUBTOTAL(9,D16:D22)</f>
        <v>2732</v>
      </c>
      <c r="E23" s="1408">
        <f>SUBTOTAL(9,E16:E22)</f>
        <v>3303</v>
      </c>
      <c r="F23" s="1408">
        <f>SUBTOTAL(9,F16:F22)</f>
        <v>3297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2794</v>
      </c>
      <c r="D31" s="1435">
        <f>SUBTOTAL(9,D9:D30)</f>
        <v>2770</v>
      </c>
      <c r="E31" s="1436">
        <f>SUBTOTAL(9,E9:E30)</f>
        <v>3325</v>
      </c>
      <c r="F31" s="1436">
        <f>SUBTOTAL(9,F9:F30)</f>
        <v>3318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X1z31PkiJSHohLuzXcZIplOT9w1X6jxqRCDg27Yxx+QuuQ+9PHiCJdCAj5CsqeML8FUJBp/hpIPZNRHLLgVJYA==" saltValue="fhoWfWCkelOxoehKyoLh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0x0LYAlQtsPCi2THGpvrBN2UiHP64ym6bMSWLA9b+th46nb+pQJPZKU6Mbc2T2VMc0DK1bGZrRtQd3Sd7jPUg==" saltValue="Du0u/y8yB9I48tMs5sA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3995</v>
      </c>
      <c r="J9" s="194">
        <v>2339</v>
      </c>
      <c r="K9" s="194">
        <v>2466</v>
      </c>
      <c r="L9" s="194">
        <v>3868</v>
      </c>
      <c r="M9" s="194">
        <v>649</v>
      </c>
      <c r="N9" s="194">
        <v>1202</v>
      </c>
      <c r="O9" s="194">
        <v>1068</v>
      </c>
      <c r="P9" s="194">
        <v>549</v>
      </c>
      <c r="Q9" s="194">
        <v>1104</v>
      </c>
      <c r="R9" s="194">
        <v>3012</v>
      </c>
      <c r="S9" s="194">
        <v>3522</v>
      </c>
      <c r="T9" s="194">
        <v>2017</v>
      </c>
      <c r="U9" s="194">
        <v>1668</v>
      </c>
      <c r="V9" s="194">
        <v>3871</v>
      </c>
      <c r="W9" s="194">
        <v>484</v>
      </c>
      <c r="X9" s="201">
        <v>780</v>
      </c>
      <c r="Y9" s="204">
        <v>89</v>
      </c>
      <c r="Z9" s="194">
        <v>87</v>
      </c>
      <c r="AA9" s="194">
        <v>114</v>
      </c>
      <c r="AB9" s="194">
        <v>62</v>
      </c>
      <c r="AC9" s="194">
        <v>0</v>
      </c>
      <c r="AD9" s="194">
        <v>0</v>
      </c>
      <c r="AE9" s="194">
        <v>0</v>
      </c>
      <c r="AF9" s="201">
        <v>0</v>
      </c>
      <c r="AG9" s="204">
        <v>120</v>
      </c>
      <c r="AH9" s="194">
        <v>86</v>
      </c>
      <c r="AI9" s="194">
        <v>90</v>
      </c>
      <c r="AJ9" s="205">
        <v>116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3642</v>
      </c>
      <c r="AZ9" s="133">
        <f>IF(ISNUMBER(IF(J_V="SI",T9,T9+AH9)),IF(J_V="SI",T9,T9+AH9)," - ")</f>
        <v>2103</v>
      </c>
      <c r="BA9" s="134">
        <f>IF(ISNUMBER(IF(J_V="SI",U9,U9+AI9)),IF(J_V="SI",U9,U9+AI9)," - ")</f>
        <v>1758</v>
      </c>
      <c r="BB9" s="134">
        <f>IF(ISNUMBER(IF(J_V="SI",V9,V9+AJ9)),IF(J_V="SI",V9,V9+AJ9)," - ")</f>
        <v>3987</v>
      </c>
      <c r="BC9" s="135">
        <f>IF(ISNUMBER(X9),X9," - ")</f>
        <v>780</v>
      </c>
      <c r="BD9" s="136">
        <f>IF(ISNUMBER(BA9/AZ9),BA9/AZ9," - ")</f>
        <v>0.83594864479315267</v>
      </c>
      <c r="BE9" s="137">
        <f>IF(ISNUMBER(BB9/BA9),BB9/BA9, " - ")</f>
        <v>2.2679180887372015</v>
      </c>
      <c r="BF9" s="137">
        <f>IF(ISNUMBER(BC9/BA9),BC9/BA9, " - ")</f>
        <v>0.44368600682593856</v>
      </c>
      <c r="BG9" s="209">
        <f>IF(ISNUMBER((AY9+AZ9)/BA9),(AY9+AZ9)/BA9," - ")</f>
        <v>3.2679180887372015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22</v>
      </c>
      <c r="K10" s="194">
        <v>21</v>
      </c>
      <c r="L10" s="194">
        <v>39</v>
      </c>
      <c r="M10" s="194">
        <v>11</v>
      </c>
      <c r="N10" s="194">
        <v>8</v>
      </c>
      <c r="O10" s="194">
        <v>4</v>
      </c>
      <c r="P10" s="194">
        <v>4</v>
      </c>
      <c r="Q10" s="194">
        <v>2</v>
      </c>
      <c r="R10" s="194">
        <v>95</v>
      </c>
      <c r="S10" s="194">
        <v>32</v>
      </c>
      <c r="T10" s="194">
        <v>40</v>
      </c>
      <c r="U10" s="194">
        <v>36</v>
      </c>
      <c r="V10" s="194">
        <v>36</v>
      </c>
      <c r="W10" s="194">
        <v>14</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32</v>
      </c>
      <c r="AZ10" s="139">
        <f t="shared" si="0"/>
        <v>40</v>
      </c>
      <c r="BA10" s="139">
        <f t="shared" si="0"/>
        <v>36</v>
      </c>
      <c r="BB10" s="139">
        <f t="shared" si="0"/>
        <v>36</v>
      </c>
      <c r="BC10" s="135">
        <f t="shared" si="0"/>
        <v>14</v>
      </c>
      <c r="BD10" s="136">
        <f>IF(ISNUMBER(BA10/AZ10),BA10/AZ10," - ")</f>
        <v>0.9</v>
      </c>
      <c r="BE10" s="137">
        <f>IF(ISNUMBER(BB10/BA10),BB10/BA10, " - ")</f>
        <v>1</v>
      </c>
      <c r="BF10" s="137">
        <f>IF(ISNUMBER(BC10/BA10),BC10/BA10, " - ")</f>
        <v>0.3888888888888889</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458</v>
      </c>
      <c r="J11" s="196">
        <v>326</v>
      </c>
      <c r="K11" s="196">
        <v>277</v>
      </c>
      <c r="L11" s="196">
        <v>507</v>
      </c>
      <c r="M11" s="196">
        <v>102</v>
      </c>
      <c r="N11" s="196">
        <v>363</v>
      </c>
      <c r="O11" s="194">
        <v>149</v>
      </c>
      <c r="P11" s="196">
        <v>26</v>
      </c>
      <c r="Q11" s="196">
        <v>109</v>
      </c>
      <c r="R11" s="196">
        <v>459</v>
      </c>
      <c r="S11" s="196">
        <v>433</v>
      </c>
      <c r="T11" s="196">
        <v>249</v>
      </c>
      <c r="U11" s="196">
        <v>274</v>
      </c>
      <c r="V11" s="196">
        <v>408</v>
      </c>
      <c r="W11" s="196">
        <v>120</v>
      </c>
      <c r="X11" s="202">
        <v>310</v>
      </c>
      <c r="Y11" s="204">
        <v>156</v>
      </c>
      <c r="Z11" s="194">
        <v>176</v>
      </c>
      <c r="AA11" s="194">
        <v>180</v>
      </c>
      <c r="AB11" s="194">
        <v>152</v>
      </c>
      <c r="AC11" s="196">
        <v>0</v>
      </c>
      <c r="AD11" s="196">
        <v>0</v>
      </c>
      <c r="AE11" s="196">
        <v>0</v>
      </c>
      <c r="AF11" s="202">
        <v>0</v>
      </c>
      <c r="AG11" s="215">
        <v>169</v>
      </c>
      <c r="AH11" s="196">
        <v>223</v>
      </c>
      <c r="AI11" s="196">
        <v>235</v>
      </c>
      <c r="AJ11" s="216">
        <v>157</v>
      </c>
      <c r="AK11" s="195">
        <v>0</v>
      </c>
      <c r="AL11" s="196">
        <v>0</v>
      </c>
      <c r="AM11" s="196">
        <v>0</v>
      </c>
      <c r="AN11" s="202">
        <v>0</v>
      </c>
      <c r="AO11" s="283">
        <v>2</v>
      </c>
      <c r="AP11" s="168">
        <v>2</v>
      </c>
      <c r="AQ11" s="168">
        <v>2</v>
      </c>
      <c r="AR11" s="167">
        <v>2</v>
      </c>
      <c r="AS11" s="381" t="s">
        <v>1066</v>
      </c>
      <c r="AT11" s="216"/>
      <c r="AU11" s="215"/>
      <c r="AV11" s="216"/>
      <c r="AW11" s="215"/>
      <c r="AX11" s="216"/>
      <c r="AY11" s="136">
        <f t="shared" ref="AY11:BB12" si="1">IF(ISNUMBER(IF(J_V="SI",S11,S11+AG11)),IF(J_V="SI",S11,S11+AG11)," - ")</f>
        <v>602</v>
      </c>
      <c r="AZ11" s="137">
        <f t="shared" si="1"/>
        <v>472</v>
      </c>
      <c r="BA11" s="137">
        <f t="shared" si="1"/>
        <v>509</v>
      </c>
      <c r="BB11" s="137">
        <f t="shared" si="1"/>
        <v>565</v>
      </c>
      <c r="BC11" s="135">
        <f>IF(ISNUMBER(X11),X11," - ")</f>
        <v>310</v>
      </c>
      <c r="BD11" s="136">
        <f t="shared" ref="BD11:BD13" si="2">IF(ISNUMBER(BA11/AZ11),BA11/AZ11," - ")</f>
        <v>1.0783898305084745</v>
      </c>
      <c r="BE11" s="137">
        <f t="shared" ref="BE11:BE13" si="3">IF(ISNUMBER(BB11/BA11),BB11/BA11, " - ")</f>
        <v>1.1100196463654224</v>
      </c>
      <c r="BF11" s="137">
        <f t="shared" ref="BF11:BF13" si="4">IF(ISNUMBER(BC11/BA11),BC11/BA11, " - ")</f>
        <v>0.60903732809430255</v>
      </c>
      <c r="BG11" s="209">
        <f t="shared" ref="BG11:BG13" si="5">IF(ISNUMBER((AY11+AZ11)/BA11),(AY11+AZ11)/BA11," - ")</f>
        <v>2.1100196463654224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4491</v>
      </c>
      <c r="J14" s="197">
        <f t="shared" si="7"/>
        <v>2687</v>
      </c>
      <c r="K14" s="197">
        <f t="shared" si="7"/>
        <v>2764</v>
      </c>
      <c r="L14" s="197">
        <f t="shared" si="7"/>
        <v>4414</v>
      </c>
      <c r="M14" s="197">
        <f t="shared" si="7"/>
        <v>762</v>
      </c>
      <c r="N14" s="197">
        <f t="shared" si="7"/>
        <v>1573</v>
      </c>
      <c r="O14" s="197">
        <f t="shared" si="7"/>
        <v>1221</v>
      </c>
      <c r="P14" s="197">
        <f t="shared" si="7"/>
        <v>579</v>
      </c>
      <c r="Q14" s="197">
        <f t="shared" si="7"/>
        <v>1215</v>
      </c>
      <c r="R14" s="197">
        <f t="shared" si="7"/>
        <v>3566</v>
      </c>
      <c r="S14" s="197">
        <f t="shared" si="7"/>
        <v>3987</v>
      </c>
      <c r="T14" s="197">
        <f t="shared" si="7"/>
        <v>2306</v>
      </c>
      <c r="U14" s="197">
        <f t="shared" si="7"/>
        <v>1978</v>
      </c>
      <c r="V14" s="197">
        <f t="shared" si="7"/>
        <v>4315</v>
      </c>
      <c r="W14" s="197">
        <f t="shared" si="7"/>
        <v>618</v>
      </c>
      <c r="X14" s="197">
        <f t="shared" si="7"/>
        <v>1099</v>
      </c>
      <c r="Y14" s="197">
        <f t="shared" si="7"/>
        <v>245</v>
      </c>
      <c r="Z14" s="197">
        <f t="shared" si="7"/>
        <v>263</v>
      </c>
      <c r="AA14" s="197">
        <f t="shared" si="7"/>
        <v>294</v>
      </c>
      <c r="AB14" s="197">
        <f t="shared" si="7"/>
        <v>214</v>
      </c>
      <c r="AC14" s="197">
        <f t="shared" si="7"/>
        <v>0</v>
      </c>
      <c r="AD14" s="197">
        <f t="shared" si="7"/>
        <v>0</v>
      </c>
      <c r="AE14" s="197">
        <f t="shared" si="7"/>
        <v>0</v>
      </c>
      <c r="AF14" s="197">
        <f>SUBTOTAL(9,AF9:AF13)</f>
        <v>0</v>
      </c>
      <c r="AG14" s="197">
        <f t="shared" ref="AG14:AT14" si="8">SUBTOTAL(9,AG8:AG13)</f>
        <v>289</v>
      </c>
      <c r="AH14" s="197">
        <f t="shared" si="8"/>
        <v>309</v>
      </c>
      <c r="AI14" s="197">
        <f t="shared" si="8"/>
        <v>325</v>
      </c>
      <c r="AJ14" s="197">
        <f t="shared" si="8"/>
        <v>273</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4276</v>
      </c>
      <c r="AZ14" s="197">
        <f>SUBTOTAL(9,AZ8:AZ13)</f>
        <v>2615</v>
      </c>
      <c r="BA14" s="197">
        <f>SUBTOTAL(9,BA8:BA13)</f>
        <v>2303</v>
      </c>
      <c r="BB14" s="197">
        <f>SUBTOTAL(9,BB8:BB13)</f>
        <v>4588</v>
      </c>
      <c r="BC14" s="197">
        <f>SUBTOTAL(9,BC8:BC13)</f>
        <v>1104</v>
      </c>
      <c r="BD14" s="219">
        <f>IF(ISNUMBER(BA14/AZ14),BA14/AZ14," - ")</f>
        <v>0.8806883365200765</v>
      </c>
      <c r="BE14" s="220">
        <f>IF(ISNUMBER(BB14/BA14),BB14/BA14, " - ")</f>
        <v>1.9921841076856275</v>
      </c>
      <c r="BF14" s="220">
        <f>IF(ISNUMBER(BC14/BA14),BC14/BA14, " - ")</f>
        <v>0.4793747286148502</v>
      </c>
      <c r="BG14" s="221">
        <f>IF(ISNUMBER((AY14+AZ14)/BA14),(AY14+AZ14)/BA14," - ")</f>
        <v>2.9921841076856275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2642</v>
      </c>
      <c r="J16" s="196">
        <v>3004</v>
      </c>
      <c r="K16" s="196">
        <v>3023</v>
      </c>
      <c r="L16" s="196">
        <v>2647</v>
      </c>
      <c r="M16" s="196">
        <v>409</v>
      </c>
      <c r="N16" s="196">
        <v>1174</v>
      </c>
      <c r="O16" s="194">
        <v>61</v>
      </c>
      <c r="P16" s="196">
        <v>82</v>
      </c>
      <c r="Q16" s="196">
        <v>88</v>
      </c>
      <c r="R16" s="196">
        <v>369</v>
      </c>
      <c r="S16" s="196">
        <v>1690</v>
      </c>
      <c r="T16" s="196">
        <v>2881</v>
      </c>
      <c r="U16" s="196">
        <v>2774</v>
      </c>
      <c r="V16" s="196">
        <v>1845</v>
      </c>
      <c r="W16" s="196">
        <v>315</v>
      </c>
      <c r="X16" s="202">
        <v>1677</v>
      </c>
      <c r="Y16" s="215">
        <v>0</v>
      </c>
      <c r="Z16" s="196">
        <v>0</v>
      </c>
      <c r="AA16" s="196">
        <v>0</v>
      </c>
      <c r="AB16" s="196">
        <v>0</v>
      </c>
      <c r="AC16" s="196">
        <v>1</v>
      </c>
      <c r="AD16" s="196">
        <v>45</v>
      </c>
      <c r="AE16" s="196">
        <v>46</v>
      </c>
      <c r="AF16" s="202">
        <v>0</v>
      </c>
      <c r="AG16" s="215">
        <v>0</v>
      </c>
      <c r="AH16" s="196">
        <v>0</v>
      </c>
      <c r="AI16" s="196">
        <v>0</v>
      </c>
      <c r="AJ16" s="216">
        <v>0</v>
      </c>
      <c r="AK16" s="195">
        <v>45</v>
      </c>
      <c r="AL16" s="196">
        <v>68</v>
      </c>
      <c r="AM16" s="196">
        <v>110</v>
      </c>
      <c r="AN16" s="202">
        <v>3</v>
      </c>
      <c r="AO16" s="283">
        <v>4</v>
      </c>
      <c r="AP16" s="168">
        <v>4</v>
      </c>
      <c r="AQ16" s="168">
        <v>4</v>
      </c>
      <c r="AR16" s="168">
        <v>4</v>
      </c>
      <c r="AS16" s="381" t="s">
        <v>694</v>
      </c>
      <c r="AT16" s="216" t="s">
        <v>424</v>
      </c>
      <c r="AU16" s="215"/>
      <c r="AV16" s="216"/>
      <c r="AW16" s="215"/>
      <c r="AX16" s="216"/>
      <c r="AY16" s="138">
        <f t="shared" ref="AY16:BB17" si="10">IF(ISNUMBER(IF(D_I="SI",S16,S16+AK16)),IF(D_I="SI",S16,S16+AK16)," - ")</f>
        <v>1690</v>
      </c>
      <c r="AZ16" s="139">
        <f t="shared" si="10"/>
        <v>2881</v>
      </c>
      <c r="BA16" s="139">
        <f t="shared" si="10"/>
        <v>2774</v>
      </c>
      <c r="BB16" s="139">
        <f t="shared" si="10"/>
        <v>1845</v>
      </c>
      <c r="BC16" s="135">
        <f>IF(ISNUMBER(W16),W16," - ")</f>
        <v>315</v>
      </c>
      <c r="BD16" s="136">
        <f>IF(ISNUMBER(BA16/AZ16),BA16/AZ16," - ")</f>
        <v>0.96286011801457827</v>
      </c>
      <c r="BE16" s="137">
        <f>IF(ISNUMBER(BB16/BA16),BB16/BA16, " - ")</f>
        <v>0.66510454217736126</v>
      </c>
      <c r="BF16" s="137">
        <f>IF(ISNUMBER(BC16/BA16),BC16/BA16, " - ")</f>
        <v>0.11355443403028118</v>
      </c>
      <c r="BG16" s="209">
        <f t="shared" ref="BG16:BG22" si="11">IF(ISNUMBER((AY16+AZ16)/BA16),(AY16+AZ16)/BA16," - ")</f>
        <v>1.6478010093727469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2</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88</v>
      </c>
      <c r="J18" s="196">
        <v>299</v>
      </c>
      <c r="K18" s="196">
        <v>274</v>
      </c>
      <c r="L18" s="196">
        <v>113</v>
      </c>
      <c r="M18" s="196">
        <v>9</v>
      </c>
      <c r="N18" s="196">
        <v>212</v>
      </c>
      <c r="O18" s="196">
        <v>0</v>
      </c>
      <c r="P18" s="196">
        <v>2</v>
      </c>
      <c r="Q18" s="196">
        <v>1</v>
      </c>
      <c r="R18" s="196">
        <v>5</v>
      </c>
      <c r="S18" s="196">
        <v>82</v>
      </c>
      <c r="T18" s="196">
        <v>257</v>
      </c>
      <c r="U18" s="196">
        <v>235</v>
      </c>
      <c r="V18" s="196">
        <v>104</v>
      </c>
      <c r="W18" s="196">
        <v>2</v>
      </c>
      <c r="X18" s="202">
        <v>159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82</v>
      </c>
      <c r="AZ18" s="139">
        <f t="shared" si="15"/>
        <v>257</v>
      </c>
      <c r="BA18" s="139">
        <f t="shared" si="15"/>
        <v>235</v>
      </c>
      <c r="BB18" s="139">
        <f t="shared" si="15"/>
        <v>104</v>
      </c>
      <c r="BC18" s="135">
        <f>IF(ISNUMBER(W18),W18," - ")</f>
        <v>2</v>
      </c>
      <c r="BD18" s="136">
        <f>IF(ISNUMBER(BA18/AZ18),BA18/AZ18," - ")</f>
        <v>0.91439688715953304</v>
      </c>
      <c r="BE18" s="137">
        <f>IF(ISNUMBER(BB18/BA18),BB18/BA18, " - ")</f>
        <v>0.44255319148936167</v>
      </c>
      <c r="BF18" s="137">
        <f>IF(ISNUMBER(BC18/BA18),BC18/BA18, " - ")</f>
        <v>8.5106382978723406E-3</v>
      </c>
      <c r="BG18" s="209">
        <f>IF(ISNUMBER((AY18+AZ18)/BA18),(AY18+AZ18)/BA18," - ")</f>
        <v>1.4425531914893617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2732</v>
      </c>
      <c r="J23" s="197">
        <f t="shared" si="21"/>
        <v>3303</v>
      </c>
      <c r="K23" s="197">
        <f t="shared" si="21"/>
        <v>3297</v>
      </c>
      <c r="L23" s="197">
        <f t="shared" si="21"/>
        <v>2762</v>
      </c>
      <c r="M23" s="197">
        <f t="shared" si="21"/>
        <v>418</v>
      </c>
      <c r="N23" s="197">
        <f t="shared" si="21"/>
        <v>1386</v>
      </c>
      <c r="O23" s="197">
        <f t="shared" si="21"/>
        <v>61</v>
      </c>
      <c r="P23" s="197">
        <f t="shared" si="21"/>
        <v>84</v>
      </c>
      <c r="Q23" s="197">
        <f t="shared" si="21"/>
        <v>89</v>
      </c>
      <c r="R23" s="197">
        <f t="shared" si="21"/>
        <v>376</v>
      </c>
      <c r="S23" s="197">
        <f t="shared" si="21"/>
        <v>1774</v>
      </c>
      <c r="T23" s="197">
        <f t="shared" si="21"/>
        <v>3138</v>
      </c>
      <c r="U23" s="197">
        <f t="shared" si="21"/>
        <v>3009</v>
      </c>
      <c r="V23" s="197">
        <f t="shared" si="21"/>
        <v>1951</v>
      </c>
      <c r="W23" s="197">
        <f t="shared" si="21"/>
        <v>317</v>
      </c>
      <c r="X23" s="197">
        <f t="shared" si="21"/>
        <v>1836</v>
      </c>
      <c r="Y23" s="197">
        <f t="shared" si="21"/>
        <v>0</v>
      </c>
      <c r="Z23" s="197">
        <f t="shared" si="21"/>
        <v>0</v>
      </c>
      <c r="AA23" s="197">
        <f t="shared" si="21"/>
        <v>0</v>
      </c>
      <c r="AB23" s="197">
        <f t="shared" si="21"/>
        <v>0</v>
      </c>
      <c r="AC23" s="197">
        <f t="shared" si="21"/>
        <v>1</v>
      </c>
      <c r="AD23" s="197">
        <f t="shared" si="21"/>
        <v>45</v>
      </c>
      <c r="AE23" s="197">
        <f t="shared" si="21"/>
        <v>46</v>
      </c>
      <c r="AF23" s="197">
        <f t="shared" si="21"/>
        <v>0</v>
      </c>
      <c r="AG23" s="197">
        <f t="shared" si="21"/>
        <v>0</v>
      </c>
      <c r="AH23" s="197">
        <f t="shared" si="21"/>
        <v>0</v>
      </c>
      <c r="AI23" s="197">
        <f t="shared" si="21"/>
        <v>0</v>
      </c>
      <c r="AJ23" s="197">
        <f t="shared" si="21"/>
        <v>0</v>
      </c>
      <c r="AK23" s="197">
        <f t="shared" si="21"/>
        <v>45</v>
      </c>
      <c r="AL23" s="197">
        <f t="shared" si="21"/>
        <v>68</v>
      </c>
      <c r="AM23" s="197">
        <f t="shared" si="21"/>
        <v>110</v>
      </c>
      <c r="AN23" s="197">
        <f t="shared" si="21"/>
        <v>3</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1774</v>
      </c>
      <c r="AZ23" s="197">
        <f>SUBTOTAL(9,AZ15:AZ22)</f>
        <v>3138</v>
      </c>
      <c r="BA23" s="197">
        <f>SUBTOTAL(9,BA15:BA22)</f>
        <v>3009</v>
      </c>
      <c r="BB23" s="197">
        <f>SUBTOTAL(9,BB15:BB22)</f>
        <v>1951</v>
      </c>
      <c r="BC23" s="197">
        <f>SUBTOTAL(9,BC15:BC22)</f>
        <v>317</v>
      </c>
      <c r="BD23" s="219">
        <f>IF(ISNUMBER(BA23/AZ23),BA23/AZ23," - ")</f>
        <v>0.95889101338432126</v>
      </c>
      <c r="BE23" s="220">
        <f>IF(ISNUMBER(BB23/BA23),BB23/BA23, " - ")</f>
        <v>0.6483881688268528</v>
      </c>
      <c r="BF23" s="220">
        <f>IF(ISNUMBER(BC23/BA23),BC23/BA23, " - ")</f>
        <v>0.10535061482220007</v>
      </c>
      <c r="BG23" s="221">
        <f>IF(ISNUMBER((AY23+AZ23)/BA23),(AY23+AZ23)/BA23," - ")</f>
        <v>1.6324360252575607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7223</v>
      </c>
      <c r="J31" s="144">
        <f t="shared" si="36"/>
        <v>5990</v>
      </c>
      <c r="K31" s="144">
        <f t="shared" si="36"/>
        <v>6061</v>
      </c>
      <c r="L31" s="144">
        <f t="shared" si="36"/>
        <v>7176</v>
      </c>
      <c r="M31" s="144">
        <f t="shared" si="36"/>
        <v>1180</v>
      </c>
      <c r="N31" s="144">
        <f t="shared" si="36"/>
        <v>2959</v>
      </c>
      <c r="O31" s="144">
        <f t="shared" si="36"/>
        <v>1282</v>
      </c>
      <c r="P31" s="144">
        <f t="shared" si="36"/>
        <v>663</v>
      </c>
      <c r="Q31" s="144">
        <f t="shared" si="36"/>
        <v>1304</v>
      </c>
      <c r="R31" s="144">
        <f t="shared" si="36"/>
        <v>3942</v>
      </c>
      <c r="S31" s="144">
        <f t="shared" si="36"/>
        <v>5761</v>
      </c>
      <c r="T31" s="144">
        <f t="shared" si="36"/>
        <v>5444</v>
      </c>
      <c r="U31" s="144">
        <f t="shared" si="36"/>
        <v>4987</v>
      </c>
      <c r="V31" s="144">
        <f t="shared" si="36"/>
        <v>6266</v>
      </c>
      <c r="W31" s="144">
        <f t="shared" si="36"/>
        <v>935</v>
      </c>
      <c r="X31" s="144">
        <f t="shared" si="36"/>
        <v>2935</v>
      </c>
      <c r="Y31" s="144">
        <f t="shared" si="36"/>
        <v>245</v>
      </c>
      <c r="Z31" s="144">
        <f t="shared" si="36"/>
        <v>263</v>
      </c>
      <c r="AA31" s="144">
        <f t="shared" si="36"/>
        <v>294</v>
      </c>
      <c r="AB31" s="144">
        <f t="shared" si="36"/>
        <v>214</v>
      </c>
      <c r="AC31" s="144">
        <f t="shared" si="36"/>
        <v>1</v>
      </c>
      <c r="AD31" s="144">
        <f t="shared" si="36"/>
        <v>45</v>
      </c>
      <c r="AE31" s="144">
        <f t="shared" si="36"/>
        <v>46</v>
      </c>
      <c r="AF31" s="144">
        <f t="shared" si="36"/>
        <v>0</v>
      </c>
      <c r="AG31" s="144">
        <f t="shared" si="36"/>
        <v>289</v>
      </c>
      <c r="AH31" s="144">
        <f t="shared" si="36"/>
        <v>309</v>
      </c>
      <c r="AI31" s="144">
        <f t="shared" si="36"/>
        <v>325</v>
      </c>
      <c r="AJ31" s="144">
        <f t="shared" si="36"/>
        <v>273</v>
      </c>
      <c r="AK31" s="144">
        <f t="shared" si="36"/>
        <v>45</v>
      </c>
      <c r="AL31" s="144">
        <f t="shared" si="36"/>
        <v>68</v>
      </c>
      <c r="AM31" s="144">
        <f t="shared" si="36"/>
        <v>110</v>
      </c>
      <c r="AN31" s="224">
        <f t="shared" si="36"/>
        <v>3</v>
      </c>
      <c r="AO31" s="225">
        <v>12</v>
      </c>
      <c r="AP31" s="225">
        <v>12</v>
      </c>
      <c r="AQ31" s="225">
        <v>12</v>
      </c>
      <c r="AR31" s="225">
        <v>12</v>
      </c>
      <c r="AS31" s="166">
        <f t="shared" si="36"/>
        <v>0</v>
      </c>
      <c r="AT31" s="166">
        <f t="shared" si="36"/>
        <v>0</v>
      </c>
      <c r="AU31" s="225"/>
      <c r="AV31" s="226"/>
      <c r="AW31" s="225"/>
      <c r="AX31" s="226"/>
      <c r="AY31" s="143">
        <f>SUBTOTAL(9,AY9:AY30)</f>
        <v>6050</v>
      </c>
      <c r="AZ31" s="144">
        <f>SUBTOTAL(9,AZ9:AZ30)</f>
        <v>5753</v>
      </c>
      <c r="BA31" s="144">
        <f>SUBTOTAL(9,BA9:BA30)</f>
        <v>5312</v>
      </c>
      <c r="BB31" s="144">
        <f>SUBTOTAL(9,BB9:BB30)</f>
        <v>6539</v>
      </c>
      <c r="BC31" s="145">
        <f>SUBTOTAL(9,BC9:BC30)</f>
        <v>1421</v>
      </c>
      <c r="BD31" s="227">
        <f>IF(ISNUMBER(BA31/AZ31),BA31/AZ31," - ")</f>
        <v>0.9233443420823918</v>
      </c>
      <c r="BE31" s="224">
        <f>IF(ISNUMBER(BB31/BA31),BB31/BA31, " - ")</f>
        <v>1.2309864457831325</v>
      </c>
      <c r="BF31" s="224">
        <f>IF(ISNUMBER(BC31/BA31),BC31/BA31, " - ")</f>
        <v>0.26750753012048195</v>
      </c>
      <c r="BG31" s="145">
        <f>IF(ISNUMBER((AY31+AZ31)/BA31),(AY31+AZ31)/BA31," - ")</f>
        <v>2.2219503012048194</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WwQ7nEzfnGioOS82fKBMAiGqzGJMIEmJd5+864NDQrVI4INTtjpnpGU38QsKzDuQxeS59Zoi04LLMLWpu72FA==" saltValue="xvPQRwsGt8uCrsO0AufB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IS8rWLQp6NPtfpfqIaJ5Ti5YdOgznp/XEnz+DXISdYoagIIB9xOznbBdBAS6GKOiFsQPI+c1/CL3liVv1VWg==" saltValue="b6AxGaMaX0sD/jFrnC/o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GIRONA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87</v>
      </c>
      <c r="O9" s="549"/>
      <c r="P9" s="549"/>
      <c r="Q9" s="547">
        <f>IF(ISNUMBER(Datos!P9),Datos!P9,0)</f>
        <v>549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1104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62</v>
      </c>
      <c r="AI9" s="549" t="str">
        <f>IF(ISNUMBER(Datos!CD9),Datos!CD9,"-")</f>
        <v>-</v>
      </c>
      <c r="AJ9" s="549" t="str">
        <f>IF(ISNUMBER(Datos!EN9),Datos!EN9," - ")</f>
        <v xml:space="preserve"> - </v>
      </c>
      <c r="AK9" s="549"/>
      <c r="AL9" s="550"/>
      <c r="AM9" s="766">
        <f>IF(ISNUMBER(Datos!R9),Datos!R9," - ")</f>
        <v>3012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649</v>
      </c>
      <c r="BD9" s="693">
        <f>IF(ISNUMBER(Datos!N9),Datos!N9," - ")</f>
        <v>1202</v>
      </c>
      <c r="BE9" s="693" t="str">
        <f>IF(ISNUMBER(Datos!BW9),Datos!BW9," - ")</f>
        <v xml:space="preserve"> - </v>
      </c>
      <c r="BF9" s="762" t="str">
        <f>IF(ISNUMBER(Datos!BX9),Datos!BX9," - ")</f>
        <v xml:space="preserve"> - </v>
      </c>
      <c r="BG9" s="763">
        <f>IF(ISNUMBER(IF(J_V="SI",Datos!K9/Datos!J9,(Datos!K9+Datos!AA9)/(Datos!J9+Datos!Z9))),IF(J_V="SI",Datos!K9/Datos!J9,(Datos!K9+Datos!AA9)/(Datos!J9+Datos!Z9))," - ")</f>
        <v>1.0634789777411378</v>
      </c>
      <c r="BH9" s="764">
        <f>IF(ISNUMBER(((IF(J_V="SI",Datos!L9/Datos!K9,(Datos!L9+Datos!AB9)/(Datos!K9+Datos!AA9)))*11)/factor_trimestre),((IF(J_V="SI",Datos!L9/Datos!K9,(Datos!L9+Datos!AB9)/(Datos!K9+Datos!AA9)))*11)/factor_trimestre," - ")</f>
        <v>3.0465116279069764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-0.15559293523969722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2</v>
      </c>
      <c r="AD10" s="549"/>
      <c r="AE10" s="563"/>
      <c r="AF10" s="551">
        <f>IF(ISNUMBER(Datos!L10),Datos!L10,"-")</f>
        <v>39</v>
      </c>
      <c r="AG10" s="549"/>
      <c r="AH10" s="549"/>
      <c r="AI10" s="549"/>
      <c r="AJ10" s="549"/>
      <c r="AK10" s="549"/>
      <c r="AL10" s="550"/>
      <c r="AM10" s="766">
        <f>IF(ISNUMBER(Datos!R10),Datos!R10," - ")</f>
        <v>95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8</v>
      </c>
      <c r="BE10" s="693" t="str">
        <f>IF(ISNUMBER(Datos!BW10),Datos!BW10," - ")</f>
        <v xml:space="preserve"> - </v>
      </c>
      <c r="BF10" s="762" t="str">
        <f>IF(ISNUMBER(Datos!BX10),Datos!BX10," - ")</f>
        <v xml:space="preserve"> - </v>
      </c>
      <c r="BG10" s="763">
        <f>IF(ISNUMBER(Datos!K10/Datos!J10),Datos!K10/Datos!J10," - ")</f>
        <v>0.95454545454545459</v>
      </c>
      <c r="BH10" s="764">
        <f>IF(ISNUMBER(((Datos!L10/Datos!K10)*11)/factor_trimestre),((Datos!L10/Datos!K10)*11)/factor_trimestre," - ")</f>
        <v>3.7142857142857149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2.1505376344086023E-2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176</v>
      </c>
      <c r="O11" s="549"/>
      <c r="P11" s="549"/>
      <c r="Q11" s="547">
        <f>IF(ISNUMBER(Datos!P11),Datos!P11,0)</f>
        <v>26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109</v>
      </c>
      <c r="AD11" s="549"/>
      <c r="AE11" s="563"/>
      <c r="AF11" s="551" t="str">
        <f>IF(ISNUMBER(IF(J_V="SI",Datos!L11,Datos!L11+Datos!AB11)-IF(Monitorios="SI",Datos!CD11,0)),
                          IF(J_V="SI",Datos!L11,Datos!L11+Datos!AB11)-IF(Monitorios="SI",Datos!CD11,0),
                          " - ")</f>
        <v xml:space="preserve"> - </v>
      </c>
      <c r="AG11" s="549"/>
      <c r="AH11" s="549">
        <f>IF(ISNUMBER(Datos!AB11),Datos!AB11,"-")</f>
        <v>152</v>
      </c>
      <c r="AI11" s="549"/>
      <c r="AJ11" s="549"/>
      <c r="AK11" s="549"/>
      <c r="AL11" s="550"/>
      <c r="AM11" s="766">
        <f>IF(ISNUMBER(Datos!R11),Datos!R11," - ")</f>
        <v>459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102</v>
      </c>
      <c r="BD11" s="693">
        <f>IF(ISNUMBER(Datos!N11),Datos!N11," - ")</f>
        <v>363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0.91035856573705176</v>
      </c>
      <c r="BH11" s="764">
        <f>IF(ISNUMBER(((IF(J_V="SI",Datos!L11/Datos!K11,(Datos!L11+Datos!AB11)/(Datos!K11+Datos!AA11)))*11)/factor_trimestre),((IF(J_V="SI",Datos!L11/Datos!K11,(Datos!L11+Datos!AB11)/(Datos!K11+Datos!AA11)))*11)/factor_trimestre," - ")</f>
        <v>2.8840262582056893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-0.15313653136531366</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263</v>
      </c>
      <c r="O14" s="1199">
        <f t="shared" si="1"/>
        <v>0</v>
      </c>
      <c r="P14" s="1199">
        <f t="shared" si="1"/>
        <v>0</v>
      </c>
      <c r="Q14" s="1198">
        <f t="shared" si="1"/>
        <v>579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1215</v>
      </c>
      <c r="AD14" s="1198">
        <f t="shared" si="2"/>
        <v>0</v>
      </c>
      <c r="AE14" s="1198">
        <f t="shared" si="2"/>
        <v>0</v>
      </c>
      <c r="AF14" s="1198">
        <f t="shared" si="2"/>
        <v>39</v>
      </c>
      <c r="AG14" s="1198">
        <f t="shared" si="2"/>
        <v>0</v>
      </c>
      <c r="AH14" s="1198">
        <f t="shared" si="2"/>
        <v>214</v>
      </c>
      <c r="AI14" s="1198">
        <f t="shared" si="2"/>
        <v>0</v>
      </c>
      <c r="AJ14" s="1198">
        <f t="shared" si="2"/>
        <v>0</v>
      </c>
      <c r="AK14" s="1198">
        <f t="shared" si="2"/>
        <v>0</v>
      </c>
      <c r="AL14" s="1198">
        <f t="shared" si="2"/>
        <v>0</v>
      </c>
      <c r="AM14" s="1198">
        <f t="shared" si="2"/>
        <v>3566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762</v>
      </c>
      <c r="BD14" s="1198">
        <f t="shared" si="2"/>
        <v>1573</v>
      </c>
      <c r="BE14" s="1198">
        <f t="shared" si="2"/>
        <v>0</v>
      </c>
      <c r="BF14" s="1198">
        <f t="shared" si="2"/>
        <v>0</v>
      </c>
      <c r="BG14" s="1198">
        <f>IF(ISNUMBER(Datos!K14/Datos!J14),Datos!K14/Datos!J14," - ")</f>
        <v>1.0286564942314849</v>
      </c>
      <c r="BH14" s="1202">
        <f>IF(ISNUMBER(((Datos!L14/Datos!K14)*11)/factor_trimestre),((Datos!L14/Datos!K14)*11)/factor_trimestre," - ")</f>
        <v>3.1939218523878439</v>
      </c>
      <c r="BI14" s="1198">
        <f>IF(ISNUMBER('Resol  Asuntos'!D14/NºAsuntos!G14),'Resol  Asuntos'!D14/NºAsuntos!G14," - ")</f>
        <v>0.24918247220405493</v>
      </c>
      <c r="BJ14" s="1198" t="str">
        <f>IF(ISNUMBER(Datos!CI14/Datos!CJ14),Datos!CI14/Datos!CJ14," - ")</f>
        <v xml:space="preserve"> - </v>
      </c>
      <c r="BK14" s="1198">
        <f>SUBTOTAL(9,BK8:BK13)</f>
        <v>0</v>
      </c>
      <c r="BL14" s="1198">
        <f>IF(ISNUMBER((I14-AB14+L14)/(F14)),(I14-AB14+L14)/(F14)," - ")</f>
        <v>-0.55263157894736847</v>
      </c>
      <c r="BM14" s="1203">
        <f>SUBTOTAL(9,BM9:BM13)</f>
        <v>-0.28722409026092488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2666</v>
      </c>
      <c r="G16" s="743">
        <f>IF(ISNUMBER(IF(D_I="SI",Datos!I16,Datos!I16+Datos!AC16)),IF(D_I="SI",Datos!I16,Datos!I16+Datos!AC16)," - ")</f>
        <v>2642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3023</v>
      </c>
      <c r="AC16" s="240">
        <f>IF(ISNUMBER(Datos!Q16),Datos!Q16," - ")</f>
        <v>88</v>
      </c>
      <c r="AD16" s="374"/>
      <c r="AE16" s="562"/>
      <c r="AF16" s="741">
        <f>IF(ISNUMBER(IF(D_I="SI",Datos!L16,Datos!L16+Datos!AF16)),IF(D_I="SI",Datos!L16,Datos!L16+Datos!AF16)," - ")</f>
        <v>2647</v>
      </c>
      <c r="AG16" s="374"/>
      <c r="AH16" s="374"/>
      <c r="AI16" s="374"/>
      <c r="AJ16" s="549"/>
      <c r="AK16" s="374"/>
      <c r="AL16" s="545"/>
      <c r="AM16" s="375">
        <f>IF(ISNUMBER(Datos!R16),Datos!R16," - ")</f>
        <v>369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409</v>
      </c>
      <c r="BD16" s="243">
        <f>IF(ISNUMBER(Datos!N16),Datos!N16," - ")</f>
        <v>1174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1.0063249001331558</v>
      </c>
      <c r="BH16" s="764">
        <f>IF(ISNUMBER(((IF(D_I="SI",Datos!L16/Datos!K16,(Datos!L16+Datos!AF16)/(Datos!K16+Datos!AE16)))*11)/factor_trimestre),((IF(D_I="SI",Datos!L16/Datos!K16,(Datos!L16+Datos!AF16)/(Datos!K16+Datos!AE16)))*11)/factor_trimestre," - ")</f>
        <v>1.7512404895798874</v>
      </c>
      <c r="BI16" s="266">
        <f>IF(ISNUMBER('Resol  Asuntos'!D16/NºAsuntos!G16),'Resol  Asuntos'!D16/NºAsuntos!G16," - ")</f>
        <v>0.1352960635130665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274</v>
      </c>
      <c r="AC18" s="547">
        <f>IF(ISNUMBER(Datos!Q18),Datos!Q18," - ")</f>
        <v>1</v>
      </c>
      <c r="AD18" s="549"/>
      <c r="AE18" s="562"/>
      <c r="AF18" s="551">
        <f>IF(ISNUMBER(Datos!L18),Datos!L18,"-")</f>
        <v>113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212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0.91638795986622068</v>
      </c>
      <c r="BH18" s="764">
        <f>IF(ISNUMBER(((IF(D_I="SI",Datos!L18/Datos!K18,(Datos!L18+Datos!AF18)/(Datos!K18+Datos!AE18)))*11)/factor_trimestre),((IF(D_I="SI",Datos!L18/Datos!K18,(Datos!L18+Datos!AF18)/(Datos!K18+Datos!AE18)))*11)/factor_trimestre," - ")</f>
        <v>0.82481751824817517</v>
      </c>
      <c r="BI18" s="763">
        <f>IF(ISNUMBER('Resol  Asuntos'!D18/NºAsuntos!G18),'Resol  Asuntos'!D18/NºAsuntos!G18," - ")</f>
        <v>3.2846715328467155E-2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2668</v>
      </c>
      <c r="G23" s="1197">
        <f>SUBTOTAL(9,G16:G22)</f>
        <v>2732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3297</v>
      </c>
      <c r="AC23" s="1198">
        <f t="shared" si="5"/>
        <v>89</v>
      </c>
      <c r="AD23" s="1198">
        <f t="shared" si="5"/>
        <v>0</v>
      </c>
      <c r="AE23" s="1198">
        <f t="shared" si="5"/>
        <v>0</v>
      </c>
      <c r="AF23" s="1198">
        <f t="shared" si="5"/>
        <v>2762</v>
      </c>
      <c r="AG23" s="1198">
        <f t="shared" si="5"/>
        <v>0</v>
      </c>
      <c r="AH23" s="1198">
        <f t="shared" si="5"/>
        <v>0</v>
      </c>
      <c r="AI23" s="1198">
        <f t="shared" si="5"/>
        <v>0</v>
      </c>
      <c r="AJ23" s="1198">
        <f t="shared" si="5"/>
        <v>0</v>
      </c>
      <c r="AK23" s="1198">
        <f t="shared" si="5"/>
        <v>0</v>
      </c>
      <c r="AL23" s="1198">
        <f t="shared" si="5"/>
        <v>0</v>
      </c>
      <c r="AM23" s="1198">
        <f t="shared" si="5"/>
        <v>376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418</v>
      </c>
      <c r="BD23" s="1198">
        <f t="shared" si="5"/>
        <v>1386</v>
      </c>
      <c r="BE23" s="1198">
        <f t="shared" si="5"/>
        <v>0</v>
      </c>
      <c r="BF23" s="1198">
        <f t="shared" si="5"/>
        <v>0</v>
      </c>
      <c r="BG23" s="1198">
        <f>IF(ISNUMBER(Datos!K23/Datos!J23),Datos!K23/Datos!J23," - ")</f>
        <v>0.99818346957311532</v>
      </c>
      <c r="BH23" s="1202">
        <f>IF(ISNUMBER(((Datos!L23/Datos!K23)*11)/factor_trimestre),((Datos!L23/Datos!K23)*11)/factor_trimestre," - ")</f>
        <v>1.6754625417045796</v>
      </c>
      <c r="BI23" s="1198">
        <f>SUBTOTAL(9,BI16:BI22)</f>
        <v>0.16814277884153367</v>
      </c>
      <c r="BJ23" s="1198">
        <f>SUBTOTAL(9,BJ16:BJ22)</f>
        <v>0</v>
      </c>
      <c r="BK23" s="1198">
        <f>SUBTOTAL(9,BK16:BK22)</f>
        <v>0</v>
      </c>
      <c r="BL23" s="1198">
        <f>IF(ISNUMBER((I23-AB23+L23)/(F23)),(I23-AB23+L23)/(F23)," - ")</f>
        <v>-1.2357571214392804</v>
      </c>
      <c r="BM23" s="1205">
        <f>IF(ISNUMBER((Datos!P23-Datos!Q23)/(Datos!R23-Datos!P23+Datos!Q23)),(Datos!P23-Datos!Q23)/(Datos!R23-Datos!P23+Datos!Q23)," - ")</f>
        <v>-1.3123359580052493E-2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13</v>
      </c>
      <c r="F31" s="1117">
        <f t="shared" si="18"/>
        <v>2706</v>
      </c>
      <c r="G31" s="1117">
        <f t="shared" si="18"/>
        <v>2770</v>
      </c>
      <c r="H31" s="1119">
        <f t="shared" si="18"/>
        <v>0</v>
      </c>
      <c r="I31" s="1117">
        <f t="shared" si="18"/>
        <v>0</v>
      </c>
      <c r="J31" s="1119">
        <f t="shared" si="18"/>
        <v>0</v>
      </c>
      <c r="K31" s="1119">
        <f t="shared" si="18"/>
        <v>0</v>
      </c>
      <c r="L31" s="1180">
        <f t="shared" si="18"/>
        <v>0</v>
      </c>
      <c r="M31" s="1180">
        <f t="shared" si="18"/>
        <v>0</v>
      </c>
      <c r="N31" s="1180">
        <f t="shared" si="18"/>
        <v>263</v>
      </c>
      <c r="O31" s="1180">
        <f t="shared" si="18"/>
        <v>0</v>
      </c>
      <c r="P31" s="1180">
        <f t="shared" si="18"/>
        <v>0</v>
      </c>
      <c r="Q31" s="1119">
        <f t="shared" si="18"/>
        <v>663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3318</v>
      </c>
      <c r="AC31" s="1118">
        <f t="shared" si="19"/>
        <v>1304</v>
      </c>
      <c r="AD31" s="1118">
        <f t="shared" si="19"/>
        <v>0</v>
      </c>
      <c r="AE31" s="1118">
        <f t="shared" si="19"/>
        <v>0</v>
      </c>
      <c r="AF31" s="1125">
        <f t="shared" si="19"/>
        <v>2801</v>
      </c>
      <c r="AG31" s="1125">
        <f t="shared" si="19"/>
        <v>0</v>
      </c>
      <c r="AH31" s="1125">
        <f t="shared" si="19"/>
        <v>214</v>
      </c>
      <c r="AI31" s="1125">
        <f t="shared" si="19"/>
        <v>0</v>
      </c>
      <c r="AJ31" s="1118">
        <f t="shared" si="19"/>
        <v>0</v>
      </c>
      <c r="AK31" s="1125">
        <f t="shared" si="19"/>
        <v>0</v>
      </c>
      <c r="AL31" s="1125">
        <f t="shared" si="19"/>
        <v>0</v>
      </c>
      <c r="AM31" s="1125">
        <f t="shared" si="19"/>
        <v>3942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1180</v>
      </c>
      <c r="BD31" s="1117">
        <f t="shared" si="19"/>
        <v>2959</v>
      </c>
      <c r="BE31" s="1117">
        <f t="shared" si="19"/>
        <v>0</v>
      </c>
      <c r="BF31" s="1127">
        <f t="shared" si="19"/>
        <v>0</v>
      </c>
      <c r="BG31" s="1223">
        <f>IF(ISNUMBER(Datos!K31/Datos!J31),Datos!K31/Datos!J31," - ")</f>
        <v>1.0118530884808012</v>
      </c>
      <c r="BH31" s="1223">
        <f>IF(ISNUMBER(((Datos!L31/Datos!K31)*11)/factor_trimestre),((Datos!L31/Datos!K31)*11)/factor_trimestre," - ")</f>
        <v>2.3679260848044876</v>
      </c>
      <c r="BI31" s="1103">
        <f>IF(ISNUMBER(Datos!J31/Datos!I31),Datos!J31/Datos!I31," - ")</f>
        <v>0.82929530665928286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-1.2261640798226163</v>
      </c>
      <c r="BM31" s="1188">
        <f>IF(ISNUMBER((Datos!P31-Datos!Q31+R31)/(Datos!R31-Datos!P31+Datos!Q31-R31)),(Datos!P31-Datos!Q31+R31)/(Datos!R31-Datos!P31+Datos!Q31-R31)," - ")</f>
        <v>-0.1398647174339952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2.3619795444544081</v>
      </c>
      <c r="F33" s="673">
        <f>IF(ISNUMBER(STDEV(F8:F30)),STDEV(F8:F30),"-")</f>
        <v>1293.8587543431765</v>
      </c>
      <c r="G33" s="674">
        <f>IF(ISNUMBER(STDEV(G8:G30)),STDEV(G8:G30),"-")</f>
        <v>1231.6176354697102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1443.2173383500788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297.67543846724516</v>
      </c>
      <c r="BD33" s="673"/>
      <c r="BE33" s="673">
        <f>IF(ISNUMBER(STDEV(BE8:BE30)),STDEV(BE8:BE30),"-")</f>
        <v>0</v>
      </c>
      <c r="BF33" s="678">
        <f>IF(ISNUMBER(STDEV(BF8:BF30)),STDEV(BF8:BF30),"-")</f>
        <v>0</v>
      </c>
      <c r="BG33" s="1052">
        <f>IF(ISNUMBER(STDEV(BG8:BG30)),STDEV(BG8:BG30),"-")</f>
        <v>5.7530038161673507E-2</v>
      </c>
      <c r="BH33" s="1058">
        <f>IF(ISNUMBER(STDEV(BH8:BH30)),STDEV(BH8:BH30),"-")</f>
        <v>1.0348046913760236</v>
      </c>
      <c r="BI33" s="273">
        <f>IF(ISNUMBER(STDEV(BI8:BI30)),STDEV(BI8:BI30),"-")</f>
        <v>8.954445178290231E-2</v>
      </c>
      <c r="BJ33" s="244" t="str">
        <f>IF(ISNUMBER(BL33/BM33),BL33/BM33," - ")</f>
        <v xml:space="preserve"> - </v>
      </c>
      <c r="BK33" s="709"/>
      <c r="BL33" s="681">
        <f>IF(ISNUMBER(STDEV(BL8:BL30)),STDEV(BL8:BL30),"-")</f>
        <v>0.48304270349776984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vzaQbT9DIz8eNvhsleMQs8x7UWHX2p2WpzZkwvU67Kjoc9Jrp8e+Dr8vDy938ia3JGQ341umBvvrIPimQXvpQ==" saltValue="iIe68ButOWXCTPyuihsl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GIRONA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1104</v>
      </c>
      <c r="AA9" s="551" t="str">
        <f>IF(ISNUMBER(IF(J_V="SI",Datos!L9,Datos!L9+Datos!AB9)-IF(Monitorios="SI",Datos!CD9,0)),
                          IF(J_V="SI",Datos!L9,Datos!L9+Datos!AB9)-IF(Monitorios="SI",Datos!CD9,0),
                          " - ")</f>
        <v xml:space="preserve"> - </v>
      </c>
      <c r="AB9" s="549"/>
      <c r="AC9" s="549"/>
      <c r="AD9" s="563"/>
      <c r="AE9" s="563">
        <f>IF(ISNUMBER(Datos!R9),Datos!R9," - ")</f>
        <v>3012</v>
      </c>
      <c r="AF9" s="693" t="str">
        <f>IF(ISNUMBER(Datos!BV9),Datos!BV9," - ")</f>
        <v xml:space="preserve"> - </v>
      </c>
      <c r="AG9" s="552" t="str">
        <f>IF(ISNUMBER(Datos!DV9),Datos!DV9," - ")</f>
        <v xml:space="preserve"> - </v>
      </c>
      <c r="AH9" s="553"/>
      <c r="AI9" s="554"/>
      <c r="AJ9" s="552">
        <f>IF(ISNUMBER(Datos!M9),Datos!M9," - ")</f>
        <v>649</v>
      </c>
      <c r="AK9" s="693">
        <f>IF(ISNUMBER(Datos!N9),Datos!N9," - ")</f>
        <v>1202</v>
      </c>
      <c r="AL9" s="693" t="str">
        <f>IF(ISNUMBER(Datos!BW9),Datos!BW9," - ")</f>
        <v xml:space="preserve"> - </v>
      </c>
      <c r="AM9" s="762" t="str">
        <f>IF(ISNUMBER(Datos!BX9),Datos!BX9," - ")</f>
        <v xml:space="preserve"> - </v>
      </c>
      <c r="AN9" s="763"/>
      <c r="AO9" s="764">
        <f>IF(ISNUMBER(((NºAsuntos!I9/NºAsuntos!G9)*11)/factor_trimestre),((NºAsuntos!I9/NºAsuntos!G9)*11)/factor_trimestre," - ")</f>
        <v>3.0465116279069764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-0.15559293523969722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2</v>
      </c>
      <c r="AA10" s="551">
        <f>IF(ISNUMBER(Datos!L10),Datos!L10,"-")</f>
        <v>39</v>
      </c>
      <c r="AB10" s="549"/>
      <c r="AC10" s="549"/>
      <c r="AD10" s="563"/>
      <c r="AE10" s="563">
        <f>IF(ISNUMBER(Datos!R10),Datos!R10," - ")</f>
        <v>95</v>
      </c>
      <c r="AF10" s="693" t="str">
        <f>IF(ISNUMBER(Datos!BV10),Datos!BV10," - ")</f>
        <v xml:space="preserve"> - </v>
      </c>
      <c r="AG10" s="552" t="str">
        <f>IF(ISNUMBER(Datos!DV10),Datos!DV10," - ")</f>
        <v xml:space="preserve"> - </v>
      </c>
      <c r="AH10" s="553"/>
      <c r="AI10" s="554"/>
      <c r="AJ10" s="552">
        <f>IF(ISNUMBER(Datos!M10),Datos!M10," - ")</f>
        <v>11</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3.7142857142857149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2.1505376344086023E-2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109</v>
      </c>
      <c r="AA11" s="551" t="str">
        <f>IF(ISNUMBER(IF(J_V="SI",Datos!L11,Datos!L11+Datos!AB11)-IF(Monitorios="SI",Datos!CD11,0)),
                          IF(J_V="SI",Datos!L11,Datos!L11+Datos!AB11)-IF(Monitorios="SI",Datos!CD11,0),
                          " - ")</f>
        <v xml:space="preserve"> - </v>
      </c>
      <c r="AB11" s="549"/>
      <c r="AC11" s="549"/>
      <c r="AD11" s="563"/>
      <c r="AE11" s="563">
        <f>IF(ISNUMBER(Datos!R11),Datos!R11," - ")</f>
        <v>459</v>
      </c>
      <c r="AF11" s="693" t="str">
        <f>IF(ISNUMBER(Datos!BV11),Datos!BV11," - ")</f>
        <v xml:space="preserve"> - </v>
      </c>
      <c r="AG11" s="552" t="str">
        <f>IF(ISNUMBER(Datos!DV11),Datos!DV11," - ")</f>
        <v xml:space="preserve"> - </v>
      </c>
      <c r="AH11" s="553"/>
      <c r="AI11" s="554"/>
      <c r="AJ11" s="552">
        <f>IF(ISNUMBER(Datos!M11),Datos!M11," - ")</f>
        <v>102</v>
      </c>
      <c r="AK11" s="693">
        <f>IF(ISNUMBER(Datos!N11),Datos!N11," - ")</f>
        <v>363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2.8840262582056893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-0.15313653136531366</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579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1215</v>
      </c>
      <c r="AA14" s="1199">
        <f t="shared" si="3"/>
        <v>39</v>
      </c>
      <c r="AB14" s="1199">
        <f t="shared" si="3"/>
        <v>0</v>
      </c>
      <c r="AC14" s="1199">
        <f t="shared" si="3"/>
        <v>0</v>
      </c>
      <c r="AD14" s="1199">
        <f t="shared" si="3"/>
        <v>0</v>
      </c>
      <c r="AE14" s="1199">
        <f t="shared" si="3"/>
        <v>3566</v>
      </c>
      <c r="AF14" s="1211">
        <f t="shared" si="3"/>
        <v>0</v>
      </c>
      <c r="AG14" s="1211">
        <f t="shared" si="3"/>
        <v>0</v>
      </c>
      <c r="AH14" s="1211">
        <f t="shared" si="3"/>
        <v>0</v>
      </c>
      <c r="AI14" s="1211">
        <f t="shared" si="3"/>
        <v>0</v>
      </c>
      <c r="AJ14" s="1211">
        <f t="shared" si="3"/>
        <v>762</v>
      </c>
      <c r="AK14" s="1211">
        <f t="shared" si="3"/>
        <v>1573</v>
      </c>
      <c r="AL14" s="1211">
        <f t="shared" si="3"/>
        <v>0</v>
      </c>
      <c r="AM14" s="1211">
        <f t="shared" si="3"/>
        <v>0</v>
      </c>
      <c r="AN14" s="1211">
        <f t="shared" si="3"/>
        <v>0</v>
      </c>
      <c r="AO14" s="1203">
        <f>IF(ISNUMBER(((NºAsuntos!I14/NºAsuntos!G14)*11)/factor_trimestre),((NºAsuntos!I14/NºAsuntos!G14)*11)/factor_trimestre," - ")</f>
        <v>3.0268149117069982</v>
      </c>
      <c r="AP14" s="1213" t="str">
        <f>IF(ISNUMBER(Datos!CI14/Datos!CJ14),Datos!CI14/Datos!CJ14," - ")</f>
        <v xml:space="preserve"> - </v>
      </c>
      <c r="AQ14" s="1236">
        <f t="shared" ref="AQ14:AV14" si="4">SUBTOTAL(9,AQ9:AQ13)</f>
        <v>0</v>
      </c>
      <c r="AR14" s="1236">
        <f t="shared" si="4"/>
        <v>-0.28722409026092488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2666</v>
      </c>
      <c r="G16" s="552">
        <f>IF(ISNUMBER(IF(D_I="SI",Datos!I16,Datos!I16+Datos!AC16)),IF(D_I="SI",Datos!I16,Datos!I16+Datos!AC16)," - ")</f>
        <v>2642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3023</v>
      </c>
      <c r="Z16" s="805">
        <f>IF(ISNUMBER(Datos!Q16),Datos!Q16," - ")</f>
        <v>88</v>
      </c>
      <c r="AA16" s="551">
        <f>IF(ISNUMBER(IF(D_I="SI",Datos!L16,Datos!L16+Datos!AF16)),IF(D_I="SI",Datos!L16,Datos!L16+Datos!AF16)," - ")</f>
        <v>2647</v>
      </c>
      <c r="AB16" s="549"/>
      <c r="AC16" s="549"/>
      <c r="AD16" s="563"/>
      <c r="AE16" s="563">
        <f>IF(ISNUMBER(Datos!R16),Datos!R16," - ")</f>
        <v>369</v>
      </c>
      <c r="AF16" s="693" t="str">
        <f>IF(ISNUMBER(Datos!BV16),Datos!BV16," - ")</f>
        <v xml:space="preserve"> - </v>
      </c>
      <c r="AG16" s="552"/>
      <c r="AH16" s="553"/>
      <c r="AI16" s="554"/>
      <c r="AJ16" s="552">
        <f>IF(ISNUMBER(Datos!M16),Datos!M16," - ")</f>
        <v>409</v>
      </c>
      <c r="AK16" s="693">
        <f>IF(ISNUMBER(Datos!N16),Datos!N16," - ")</f>
        <v>1174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1.7512404895798874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274</v>
      </c>
      <c r="Z18" s="805">
        <f>IF(ISNUMBER(Datos!Q18),Datos!Q18," - ")</f>
        <v>1</v>
      </c>
      <c r="AA18" s="551">
        <f>IF(ISNUMBER(Datos!L18),Datos!L18,"-")</f>
        <v>113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v>
      </c>
      <c r="AK18" s="693">
        <f>IF(ISNUMBER(Datos!N18),Datos!N18," - ")</f>
        <v>212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0.82481751824817517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2668</v>
      </c>
      <c r="G23" s="1197">
        <f>SUBTOTAL(9,G16:G22)</f>
        <v>2732</v>
      </c>
      <c r="H23" s="1240">
        <f>SUBTOTAL(9,H16:H22)</f>
        <v>0</v>
      </c>
      <c r="I23" s="1217">
        <f>SUBTOTAL(9,I16:I22)</f>
        <v>0</v>
      </c>
      <c r="J23" s="1164">
        <f>SUBTOTAL(9,J15:J22)</f>
        <v>0</v>
      </c>
      <c r="K23" s="1240">
        <f t="shared" ref="K23:S23" si="5">SUBTOTAL(9,K16:K22)</f>
        <v>0</v>
      </c>
      <c r="L23" s="1240">
        <f t="shared" si="5"/>
        <v>0</v>
      </c>
      <c r="M23" s="1240">
        <f t="shared" si="5"/>
        <v>0</v>
      </c>
      <c r="N23" s="1240">
        <f t="shared" si="5"/>
        <v>84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3297</v>
      </c>
      <c r="Z23" s="1240">
        <f t="shared" si="6"/>
        <v>89</v>
      </c>
      <c r="AA23" s="1240">
        <f t="shared" si="6"/>
        <v>2762</v>
      </c>
      <c r="AB23" s="1240">
        <f t="shared" si="6"/>
        <v>0</v>
      </c>
      <c r="AC23" s="1240">
        <f t="shared" si="6"/>
        <v>0</v>
      </c>
      <c r="AD23" s="1240">
        <f t="shared" si="6"/>
        <v>0</v>
      </c>
      <c r="AE23" s="1240">
        <f t="shared" si="6"/>
        <v>376</v>
      </c>
      <c r="AF23" s="1240">
        <f t="shared" si="6"/>
        <v>0</v>
      </c>
      <c r="AG23" s="1240">
        <f t="shared" si="6"/>
        <v>0</v>
      </c>
      <c r="AH23" s="1240">
        <f t="shared" si="6"/>
        <v>0</v>
      </c>
      <c r="AI23" s="1240">
        <f t="shared" si="6"/>
        <v>0</v>
      </c>
      <c r="AJ23" s="1240">
        <f t="shared" si="6"/>
        <v>418</v>
      </c>
      <c r="AK23" s="1240">
        <f t="shared" si="6"/>
        <v>1386</v>
      </c>
      <c r="AL23" s="1240">
        <f t="shared" si="6"/>
        <v>0</v>
      </c>
      <c r="AM23" s="1240">
        <f t="shared" si="6"/>
        <v>0</v>
      </c>
      <c r="AN23" s="1240">
        <f t="shared" si="6"/>
        <v>0</v>
      </c>
      <c r="AO23" s="1242">
        <f>IF(ISNUMBER(((NºAsuntos!I23/NºAsuntos!G23)*11)/factor_trimestre),((NºAsuntos!I23/NºAsuntos!G23)*11)/factor_trimestre," - ")</f>
        <v>1.6754625417045796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2706</v>
      </c>
      <c r="G31" s="1117">
        <f t="shared" si="12"/>
        <v>2770</v>
      </c>
      <c r="H31" s="1118">
        <f t="shared" si="12"/>
        <v>0</v>
      </c>
      <c r="I31" s="1117">
        <f t="shared" si="12"/>
        <v>0</v>
      </c>
      <c r="J31" s="1119">
        <f t="shared" si="12"/>
        <v>0</v>
      </c>
      <c r="K31" s="1117">
        <f t="shared" si="12"/>
        <v>0</v>
      </c>
      <c r="L31" s="1120">
        <f t="shared" si="12"/>
        <v>0</v>
      </c>
      <c r="M31" s="1117">
        <f t="shared" si="12"/>
        <v>0</v>
      </c>
      <c r="N31" s="1118">
        <f t="shared" si="12"/>
        <v>663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3318</v>
      </c>
      <c r="Z31" s="1124">
        <f t="shared" si="13"/>
        <v>1304</v>
      </c>
      <c r="AA31" s="1125">
        <f t="shared" si="13"/>
        <v>2801</v>
      </c>
      <c r="AB31" s="1125">
        <f t="shared" si="13"/>
        <v>0</v>
      </c>
      <c r="AC31" s="1125">
        <f t="shared" si="13"/>
        <v>0</v>
      </c>
      <c r="AD31" s="1126">
        <f t="shared" si="13"/>
        <v>0</v>
      </c>
      <c r="AE31" s="1126">
        <f t="shared" si="13"/>
        <v>3942</v>
      </c>
      <c r="AF31" s="1127">
        <f t="shared" si="13"/>
        <v>0</v>
      </c>
      <c r="AG31" s="1128">
        <f t="shared" si="13"/>
        <v>0</v>
      </c>
      <c r="AH31" s="1129">
        <f t="shared" si="13"/>
        <v>0</v>
      </c>
      <c r="AI31" s="1127">
        <f t="shared" si="13"/>
        <v>0</v>
      </c>
      <c r="AJ31" s="1117">
        <f t="shared" si="13"/>
        <v>1180</v>
      </c>
      <c r="AK31" s="1117">
        <f t="shared" si="13"/>
        <v>2959</v>
      </c>
      <c r="AL31" s="1117">
        <f t="shared" si="13"/>
        <v>0</v>
      </c>
      <c r="AM31" s="1130">
        <f t="shared" si="13"/>
        <v>0</v>
      </c>
      <c r="AN31" s="1120">
        <f>IF(ISNUMBER(Datos!K31/Datos!J31),Datos!K31/Datos!J31," - ")</f>
        <v>1.0118530884808012</v>
      </c>
      <c r="AO31" s="1120">
        <f>IF(ISNUMBER(FIND("06",Criterios!A8,1)),(IF(ISNUMBER(((Datos!R31/Datos!Q31)*11)/factor_trimestre),((Datos!R31/Datos!Q31)*11)/factor_trimestre," - ")),(IF(ISNUMBER(((Datos!L31/Datos!K31)*11)/factor_trimestre),((Datos!L31/Datos!K31)*11)/factor_trimestre," - ")))</f>
        <v>2.3679260848044876</v>
      </c>
      <c r="AP31" s="1131" t="str">
        <f>IF(ISNUMBER(Datos!CI31/Datos!CJ31),Datos!CI31/Datos!CJ31," - ")</f>
        <v xml:space="preserve"> - </v>
      </c>
      <c r="AQ31" s="1131">
        <f>IF(OR(ISNUMBER(FIND("01",Criterios!A8,1)),ISNUMBER(FIND("02",Criterios!A8,1)),ISNUMBER(FIND("03",Criterios!A8,1)),ISNUMBER(FIND("04",Criterios!A8,1))),(J31-Y31+K31)/(F31-K31),(I31-Y31+K31)/(F31-K31))</f>
        <v>-1.2261640798226163</v>
      </c>
      <c r="AR31" s="1131">
        <f>IF(ISNUMBER((Datos!P31-Datos!Q31+O31)/(Datos!R31-Datos!P31+Datos!Q31-O31)),(Datos!P31-Datos!Q31+O31)/(Datos!R31-Datos!P31+Datos!Q31-O31)," - ")</f>
        <v>-0.1398647174339952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1293.8587543431765</v>
      </c>
      <c r="G33" s="674">
        <f>IF(ISNUMBER(STDEV(G8:G30)),STDEV(G8:G30),"-")</f>
        <v>1231.6176354697102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297.67543846724516</v>
      </c>
      <c r="AK33" s="276"/>
      <c r="AL33" s="276">
        <f>IF(ISNUMBER(STDEV(AL8:AL30)),STDEV(AL8:AL30),"-")</f>
        <v>0</v>
      </c>
      <c r="AM33" s="278">
        <f>IF(ISNUMBER(STDEV(AM8:AM30)),STDEV(AM8:AM30),"-")</f>
        <v>0</v>
      </c>
      <c r="AN33" s="660">
        <f>IF(ISNUMBER(STDEV(AN8:AN30)),STDEV(AN8:AN30),"-")</f>
        <v>0</v>
      </c>
      <c r="AO33" s="661">
        <f>IF(ISNUMBER(STDEV(AO8:AO30)),STDEV(AO8:AO30),"-")</f>
        <v>1.0163151560423063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AY6WKLjkmjEoYnzrDeX5WN7WO1i1b2Fj4uJTo9PCVxhM7PHMG+AqDYsOrkPt1AVBmXKmj6yBt8Icqxv1VYdog==" saltValue="+RhBJol7n8o8q90bGNXn5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G17yB9dBgsbXnOc1E10aZGTBXn9YoR+bSiqYO6y60CTqHh7ZyET90ACEgRYHBTiVmCZGUsI/Zs6CTQau/lSxQ==" saltValue="4UiStBXRvXU6VJjfT0cY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5Lzuka8dIXxJkXQVGjwBEbrrCHuPY1QuMwZ+sh750vPxAxLtSMQVc9mbVgMFH0Q5c2NN7D07IqGFU69M9Vvg==" saltValue="4MmImzQxta0ASqV3k8hF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GIRONA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0.24918247220405493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0.17619861584831564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IkKRk4X4PuGgvmbToOeFFForuC0bnJ+0HBsH3t8t2g5HK8o200pXSb/MEPh3A+J62toVOC52/RN0oa0YedrqA==" saltValue="9Pyd0IfkFpsm5XC79P1r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VxV57yO6FJkLPLfL+XPl+EcS0/y5HNBWBLkS4RnC5ju/7TN2/JIV13HFqoBrs0RJJeRDY8eEeAiG6StmMhnxcA==" saltValue="s4y61ikdTsF0jh/57FpD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GIRONA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4084</v>
      </c>
      <c r="D9" s="452">
        <f>IF(ISNUMBER(C9/Datos!BH9),C9/Datos!BH9," - ")</f>
        <v>816.8</v>
      </c>
      <c r="E9" s="451">
        <f>IF(ISNUMBER(IF(J_V="SI",Datos!J9,Datos!J9+Datos!Z9)),IF(J_V="SI",Datos!J9,Datos!J9+Datos!Z9)," - ")</f>
        <v>2426</v>
      </c>
      <c r="F9" s="452">
        <f>IF(ISNUMBER(E9/B9),E9/B9," - ")</f>
        <v>485.2</v>
      </c>
      <c r="G9" s="451">
        <f>IF(ISNUMBER(IF(J_V="SI",Datos!K9,Datos!K9+Datos!AA9)),IF(J_V="SI",Datos!K9,Datos!K9+Datos!AA9)," - ")</f>
        <v>2580</v>
      </c>
      <c r="H9" s="452">
        <f>IF(ISNUMBER(G9/B9),G9/B9," - ")</f>
        <v>516</v>
      </c>
      <c r="I9" s="451">
        <f>IF(ISNUMBER(IF(J_V="SI",Datos!L9,Datos!L9+Datos!AB9)),IF(J_V="SI",Datos!L9,Datos!L9+Datos!AB9)," - ")</f>
        <v>3930</v>
      </c>
      <c r="J9" s="452">
        <f>IF(ISNUMBER(I9/B9),I9/B9," - ")</f>
        <v>786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22</v>
      </c>
      <c r="F10" s="452">
        <f>IF(ISNUMBER(E10/B10),E10/B10," - ")</f>
        <v>22</v>
      </c>
      <c r="G10" s="451">
        <f>IF(ISNUMBER(Datos!K10),Datos!K10," - ")</f>
        <v>21</v>
      </c>
      <c r="H10" s="452">
        <f>IF(ISNUMBER(G10/B10),G10/B10," - ")</f>
        <v>21</v>
      </c>
      <c r="I10" s="451">
        <f>IF(ISNUMBER(Datos!L10),Datos!L10," - ")</f>
        <v>39</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614</v>
      </c>
      <c r="D11" s="452">
        <f>IF(ISNUMBER(C11/Datos!BH11),C11/Datos!BH11," - ")</f>
        <v>307</v>
      </c>
      <c r="E11" s="451">
        <f>IF(ISNUMBER(IF(J_V="SI",Datos!J11,Datos!J11+Datos!Z11)),IF(J_V="SI",Datos!J11,Datos!J11+Datos!Z11)," - ")</f>
        <v>502</v>
      </c>
      <c r="F11" s="452">
        <f>IF(ISNUMBER(E11/B11),E11/B11," - ")</f>
        <v>251</v>
      </c>
      <c r="G11" s="451">
        <f>IF(ISNUMBER(IF(J_V="SI",Datos!K11,Datos!K11+Datos!AA11)),IF(J_V="SI",Datos!K11,Datos!K11+Datos!AA11)," - ")</f>
        <v>457</v>
      </c>
      <c r="H11" s="452">
        <f>IF(ISNUMBER(G11/B11),G11/B11," - ")</f>
        <v>228.5</v>
      </c>
      <c r="I11" s="451">
        <f>IF(ISNUMBER(IF(J_V="SI",Datos!L11,Datos!L11+Datos!AB11)),IF(J_V="SI",Datos!L11,Datos!L11+Datos!AB11)," - ")</f>
        <v>659</v>
      </c>
      <c r="J11" s="452">
        <f>IF(ISNUMBER(I11/B11),I11/B11," - ")</f>
        <v>329.5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4736</v>
      </c>
      <c r="D14" s="1147" t="str">
        <f>IF(ISNUMBER(C14/Datos!BI14),C14/Datos!BI14," - ")</f>
        <v xml:space="preserve"> - </v>
      </c>
      <c r="E14" s="1146">
        <f>SUBTOTAL(9,E8:E13)</f>
        <v>2950</v>
      </c>
      <c r="F14" s="1147">
        <f>IF(ISNUMBER(E14/B14),E14/B14," - ")</f>
        <v>368.75</v>
      </c>
      <c r="G14" s="1146">
        <f>SUBTOTAL(9,G8:G13)</f>
        <v>3058</v>
      </c>
      <c r="H14" s="1147">
        <f>IF(ISNUMBER(G14/B14),G14/B14," - ")</f>
        <v>382.25</v>
      </c>
      <c r="I14" s="1146">
        <f>SUBTOTAL(9,I8:I13)</f>
        <v>4628</v>
      </c>
      <c r="J14" s="1147">
        <f>IF(ISNUMBER(I14/B14),I14/B14," - ")</f>
        <v>578.5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2642</v>
      </c>
      <c r="D16" s="452">
        <f>IF(ISNUMBER(C16/Datos!BH16),C16/Datos!BH16," - ")</f>
        <v>660.5</v>
      </c>
      <c r="E16" s="451">
        <f>IF(ISNUMBER(IF(D_I="SI",Datos!J16,Datos!J16+Datos!AD16)),IF(D_I="SI",Datos!J16,Datos!J16+Datos!AD16)," - ")</f>
        <v>3004</v>
      </c>
      <c r="F16" s="452">
        <f>IF(ISNUMBER(E16/B16),E16/B16," - ")</f>
        <v>751</v>
      </c>
      <c r="G16" s="451">
        <f>IF(ISNUMBER(IF(D_I="SI",Datos!K16,Datos!K16+Datos!AE16)),IF(D_I="SI",Datos!K16,Datos!K16+Datos!AE16)," - ")</f>
        <v>3023</v>
      </c>
      <c r="H16" s="452">
        <f>IF(ISNUMBER(G16/B16),G16/B16," - ")</f>
        <v>755.75</v>
      </c>
      <c r="I16" s="451">
        <f>IF(ISNUMBER(IF(D_I="SI",Datos!L16,Datos!L16+Datos!AF16)),IF(D_I="SI",Datos!L16,Datos!L16+Datos!AF16)," - ")</f>
        <v>2647</v>
      </c>
      <c r="J16" s="452">
        <f>IF(ISNUMBER(I16/B16),I16/B16," - ")</f>
        <v>661.75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88</v>
      </c>
      <c r="D18" s="452">
        <f>IF(ISNUMBER(C18/Datos!BH18),C18/Datos!BH18," - ")</f>
        <v>88</v>
      </c>
      <c r="E18" s="451">
        <f>IF(ISNUMBER(IF(D_I="SI",Datos!J18,Datos!J18+Datos!AD18)),IF(D_I="SI",Datos!J18,Datos!J18+Datos!AD18)," - ")</f>
        <v>299</v>
      </c>
      <c r="F18" s="452">
        <f>IF(ISNUMBER(E18/B18),E18/B18," - ")</f>
        <v>299</v>
      </c>
      <c r="G18" s="451">
        <f>IF(ISNUMBER(IF(D_I="SI",Datos!K18,Datos!K18+Datos!AE18)),IF(D_I="SI",Datos!K18,Datos!K18+Datos!AE18)," - ")</f>
        <v>274</v>
      </c>
      <c r="H18" s="452">
        <f>IF(ISNUMBER(G18/B18),G18/B18," - ")</f>
        <v>274</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2732</v>
      </c>
      <c r="D23" s="1147" t="str">
        <f>IF(ISNUMBER(C23/Datos!BI23),C23/Datos!BI23," - ")</f>
        <v xml:space="preserve"> - </v>
      </c>
      <c r="E23" s="1146">
        <f>SUBTOTAL(9,E15:E22)</f>
        <v>3303</v>
      </c>
      <c r="F23" s="1147">
        <f>IF(ISNUMBER(E23/B23),E23/B23," - ")</f>
        <v>660.6</v>
      </c>
      <c r="G23" s="1146">
        <f>SUBTOTAL(9,G15:G22)</f>
        <v>3297</v>
      </c>
      <c r="H23" s="1147">
        <f>IF(ISNUMBER(G23/B23),G23/B23," - ")</f>
        <v>659.4</v>
      </c>
      <c r="I23" s="1146">
        <f>SUBTOTAL(9,I15:I22)</f>
        <v>2762</v>
      </c>
      <c r="J23" s="1147">
        <f>IF(ISNUMBER(I23/B23),I23/B23," - ")</f>
        <v>552.4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7468</v>
      </c>
      <c r="D31" s="1085" t="str">
        <f>IF(ISNUMBER(C31/Datos!BI31),C31/Datos!BI31," - ")</f>
        <v xml:space="preserve"> - </v>
      </c>
      <c r="E31" s="1084">
        <f>SUBTOTAL(9,E9:E30)</f>
        <v>6253</v>
      </c>
      <c r="F31" s="1085">
        <f>IF(ISNUMBER(E31/B31),E31/B31," - ")</f>
        <v>521.08333333333337</v>
      </c>
      <c r="G31" s="1084">
        <f>SUBTOTAL(9,G9:G30)</f>
        <v>6355</v>
      </c>
      <c r="H31" s="1085">
        <f>IF(ISNUMBER(G31/B31),G31/B31," - ")</f>
        <v>529.58333333333337</v>
      </c>
      <c r="I31" s="1084">
        <f>SUBTOTAL(9,I9:I30)</f>
        <v>7390</v>
      </c>
      <c r="J31" s="1085">
        <f>IF(ISNUMBER(I31/B31),I31/B31," - ")</f>
        <v>615.83333333333337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KX1TbxGXYcOwya5IKm9aMIexb1TcLi3iigiPJVqUPDTm1FbEmCigeMQCURZ/VAKrlKGKSuVRJ81KKzAdE66dw==" saltValue="CR0FdLKJIJSEXC/FL9wb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GIRONA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39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3.7142857142857149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0</v>
      </c>
      <c r="AE14" s="1257">
        <f t="shared" si="1"/>
        <v>0</v>
      </c>
      <c r="AF14" s="1257">
        <f t="shared" si="1"/>
        <v>39</v>
      </c>
      <c r="AG14" s="1257">
        <f t="shared" si="1"/>
        <v>0</v>
      </c>
      <c r="AH14" s="1257">
        <f t="shared" si="1"/>
        <v>0</v>
      </c>
      <c r="AI14" s="1257">
        <f t="shared" si="1"/>
        <v>0</v>
      </c>
      <c r="AJ14" s="1257">
        <f t="shared" si="1"/>
        <v>0</v>
      </c>
      <c r="AK14" s="1257">
        <f t="shared" si="1"/>
        <v>0</v>
      </c>
      <c r="AL14" s="1257">
        <f t="shared" si="1"/>
        <v>11</v>
      </c>
      <c r="AM14" s="1257">
        <f t="shared" si="1"/>
        <v>8</v>
      </c>
      <c r="AN14" s="1257">
        <f t="shared" si="1"/>
        <v>0</v>
      </c>
      <c r="AO14" s="1257">
        <f t="shared" si="1"/>
        <v>0</v>
      </c>
      <c r="AP14" s="1262">
        <f>IF(ISNUMBER(((Datos!L14/Datos!K14)*11)/factor_trimestre),((Datos!L14/Datos!K14)*11)/factor_trimestre," - ")</f>
        <v>3.1939218523878439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-0.55263157894736847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1.6754625417045796</v>
      </c>
      <c r="AQ23" s="1262">
        <f>IF(ISNUMBER(((Datos!M23/Datos!L23)*11)/factor_trimestre),((Datos!M23/Datos!L23)*11)/factor_trimestre," - ")</f>
        <v>0.30267921795800146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-1.3123359580052493E-2</v>
      </c>
      <c r="AW23" s="1265">
        <f>IF(ISNUMBER((Datos!Q23-Datos!R23)/(Datos!S23-Datos!Q23+Datos!R23)),(Datos!Q23-Datos!R23)/(Datos!S23-Datos!Q23+Datos!R23)," - ")</f>
        <v>-0.13925278990781173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0</v>
      </c>
      <c r="AE31" s="1284">
        <f t="shared" si="9"/>
        <v>0</v>
      </c>
      <c r="AF31" s="1285">
        <f t="shared" si="9"/>
        <v>39</v>
      </c>
      <c r="AG31" s="1285">
        <f t="shared" si="9"/>
        <v>0</v>
      </c>
      <c r="AH31" s="1285">
        <f t="shared" si="9"/>
        <v>0</v>
      </c>
      <c r="AI31" s="1285">
        <f t="shared" si="9"/>
        <v>0</v>
      </c>
      <c r="AJ31" s="1286">
        <f t="shared" si="9"/>
        <v>0</v>
      </c>
      <c r="AK31" s="1286">
        <f t="shared" si="9"/>
        <v>0</v>
      </c>
      <c r="AL31" s="1278">
        <f t="shared" si="9"/>
        <v>11</v>
      </c>
      <c r="AM31" s="1278">
        <f t="shared" si="9"/>
        <v>8</v>
      </c>
      <c r="AN31" s="1278">
        <f t="shared" si="9"/>
        <v>0</v>
      </c>
      <c r="AO31" s="1278">
        <f t="shared" si="9"/>
        <v>0</v>
      </c>
      <c r="AP31" s="1278">
        <f>IF(ISNUMBER(((Datos!L31/Datos!K31)*11)/factor_trimestre),((Datos!L31/Datos!K31)*11)/factor_trimestre," - ")</f>
        <v>2.3679260848044876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-0.55263157894736847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-0.1398647174339952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1.0593470595940822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z86XMU19Ca9IB5T4hCkjEpzxhSaeJjISgLyUIBWC+vw36ejJob45mcazAdHeye3tFBeAynTrIFFVFTik5xSIg==" saltValue="S7vHJk5SI+t2O1hqzrkF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GIRONA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sTuzTkrfSsZCZMbXOhglgIeSJ9hy6ZkqZO6kHbl1I0oce17VLoNxa6cscmTI8bNGOiHzmuw/ekhRAEFfwWGXQ==" saltValue="LJxYRyTGEU7dkGJrU1r3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GIRONA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649</v>
      </c>
      <c r="E9" s="452">
        <f t="shared" ref="E9:E14" si="0">IF(ISNUMBER(D9/B9),D9/B9," - ")</f>
        <v>129.80000000000001</v>
      </c>
      <c r="F9" s="451">
        <f>IF(ISNUMBER(Datos!N9),Datos!N9," - ")</f>
        <v>1202</v>
      </c>
      <c r="G9" s="452">
        <f t="shared" ref="G9:G14" si="1">IF(ISNUMBER(F9/B9),F9/B9," - ")</f>
        <v>240.4</v>
      </c>
      <c r="H9" s="451">
        <f>IF(ISNUMBER(Datos!O9),Datos!O9," - ")</f>
        <v>1068</v>
      </c>
      <c r="I9" s="452">
        <f>IF(ISNUMBER(H9/B9),H9/B9," - ")</f>
        <v>213.6</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8</v>
      </c>
      <c r="G10" s="452">
        <f>IF(ISNUMBER(F10/B10),F10/B10," - ")</f>
        <v>8</v>
      </c>
      <c r="H10" s="451">
        <f>IF(ISNUMBER(Datos!O10),Datos!O10," - ")</f>
        <v>4</v>
      </c>
      <c r="I10" s="452">
        <f t="shared" ref="I10:I13" si="2">IF(ISNUMBER(H10/B10),H10/B10," - ")</f>
        <v>4</v>
      </c>
    </row>
    <row r="11" spans="1:9">
      <c r="A11" s="450" t="str">
        <f>Datos!A11</f>
        <v xml:space="preserve">Jdos. Familia                                   </v>
      </c>
      <c r="B11" s="480">
        <f>Datos!AO11</f>
        <v>2</v>
      </c>
      <c r="C11" s="458">
        <f>Datos!AQ11</f>
        <v>2</v>
      </c>
      <c r="D11" s="451">
        <f>IF(ISNUMBER(Datos!M11),Datos!M11," - ")</f>
        <v>102</v>
      </c>
      <c r="E11" s="452">
        <f t="shared" si="0"/>
        <v>51</v>
      </c>
      <c r="F11" s="451">
        <f>IF(ISNUMBER(Datos!N11),Datos!N11," - ")</f>
        <v>363</v>
      </c>
      <c r="G11" s="452">
        <f t="shared" si="1"/>
        <v>181.5</v>
      </c>
      <c r="H11" s="451">
        <f>IF(ISNUMBER(Datos!O11),Datos!O11," - ")</f>
        <v>149</v>
      </c>
      <c r="I11" s="452">
        <f t="shared" si="2"/>
        <v>74.5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762</v>
      </c>
      <c r="E14" s="1147">
        <f t="shared" si="0"/>
        <v>95.25</v>
      </c>
      <c r="F14" s="1146">
        <f>SUBTOTAL(9,F9:F13)</f>
        <v>1573</v>
      </c>
      <c r="G14" s="1147">
        <f t="shared" si="1"/>
        <v>196.625</v>
      </c>
      <c r="H14" s="1146">
        <f>SUBTOTAL(9,H9:H13)</f>
        <v>1221</v>
      </c>
      <c r="I14" s="1147">
        <f>IF(ISNUMBER(H14/B14),H14/B14," - ")</f>
        <v>152.625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409</v>
      </c>
      <c r="E16" s="452">
        <f t="shared" ref="E16:E23" si="3">IF(ISNUMBER(D16/B16),D16/B16," - ")</f>
        <v>102.25</v>
      </c>
      <c r="F16" s="451">
        <f>IF(ISNUMBER(Datos!N16),Datos!N16," - ")</f>
        <v>1174</v>
      </c>
      <c r="G16" s="452">
        <f t="shared" ref="G16:G23" si="4">IF(ISNUMBER(F16/B16),F16/B16," - ")</f>
        <v>293.5</v>
      </c>
      <c r="H16" s="451">
        <f>IF(ISNUMBER(Datos!O16),Datos!O16," - ")</f>
        <v>61</v>
      </c>
      <c r="I16" s="452">
        <f t="shared" ref="I16:I22" si="5">IF(ISNUMBER(H16/B16),H16/B16," - ")</f>
        <v>15.25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212</v>
      </c>
      <c r="G18" s="452">
        <f>IF(ISNUMBER(F18/B18),F18/B18," - ")</f>
        <v>212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418</v>
      </c>
      <c r="E23" s="1147">
        <f t="shared" si="3"/>
        <v>83.6</v>
      </c>
      <c r="F23" s="1146">
        <f>SUBTOTAL(9,F16:F22)</f>
        <v>1386</v>
      </c>
      <c r="G23" s="1147">
        <f t="shared" si="4"/>
        <v>277.2</v>
      </c>
      <c r="H23" s="1146">
        <f>SUBTOTAL(9,H16:H22)</f>
        <v>61</v>
      </c>
      <c r="I23" s="1147">
        <f>IF(ISNUMBER(H23/B23),H23/B23," - ")</f>
        <v>12.2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1180</v>
      </c>
      <c r="E31" s="1085">
        <f>IF(ISNUMBER(D31/B31),D31/B31," - ")</f>
        <v>98.333333333333329</v>
      </c>
      <c r="F31" s="1084">
        <f>SUBTOTAL(9,F8:F30)</f>
        <v>2959</v>
      </c>
      <c r="G31" s="1085">
        <f>IF(ISNUMBER(F31/B31),F31/B31," - ")</f>
        <v>246.58333333333334</v>
      </c>
      <c r="H31" s="1084">
        <f>SUBTOTAL(9,H8:H30)</f>
        <v>1282</v>
      </c>
      <c r="I31" s="1085">
        <f>IF(ISNUMBER(H31/B31),H31/B31," - ")</f>
        <v>106.83333333333333</v>
      </c>
    </row>
    <row r="34" spans="1:1">
      <c r="A34" s="439" t="str">
        <f>Criterios!A4</f>
        <v>Fecha Informe: 06 may. 2023</v>
      </c>
    </row>
    <row r="39" spans="1:1">
      <c r="A39" s="462"/>
    </row>
  </sheetData>
  <sheetProtection algorithmName="SHA-512" hashValue="AnjMmoAbE9fbEM+4+2ivt65G3m2RNXVuiMoed0JyO4KnjqswX4gDXfbmQDu+68Sq4aQsfaOjOCToseWIG3bsCw==" saltValue="0uExxw/ILZO1D0xh2TDO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GIRONA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549</v>
      </c>
      <c r="C9" s="489">
        <f>IF(ISNUMBER(Datos!Q9),Datos!Q9," - ")</f>
        <v>1104</v>
      </c>
      <c r="D9" s="456">
        <f>IF(ISNUMBER(Datos!R9),Datos!R9," - ")</f>
        <v>3012</v>
      </c>
    </row>
    <row r="10" spans="1:4">
      <c r="A10" s="450" t="str">
        <f>Datos!A10</f>
        <v>Jdos. Violencia contra la mujer</v>
      </c>
      <c r="B10" s="488">
        <f>IF(ISNUMBER(Datos!P10),Datos!P10," - ")</f>
        <v>4</v>
      </c>
      <c r="C10" s="489">
        <f>IF(ISNUMBER(Datos!Q10),Datos!Q10," - ")</f>
        <v>2</v>
      </c>
      <c r="D10" s="456">
        <f>IF(ISNUMBER(Datos!R10),Datos!R10," - ")</f>
        <v>95</v>
      </c>
    </row>
    <row r="11" spans="1:4">
      <c r="A11" s="450" t="str">
        <f>Datos!A11</f>
        <v xml:space="preserve">Jdos. Familia                                   </v>
      </c>
      <c r="B11" s="488">
        <f>IF(ISNUMBER(Datos!P11),Datos!P11," - ")</f>
        <v>26</v>
      </c>
      <c r="C11" s="489">
        <f>IF(ISNUMBER(Datos!Q11),Datos!Q11," - ")</f>
        <v>109</v>
      </c>
      <c r="D11" s="456">
        <f>IF(ISNUMBER(Datos!R11),Datos!R11," - ")</f>
        <v>459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579</v>
      </c>
      <c r="C14" s="1150">
        <f>SUBTOTAL(9,C9:C13)</f>
        <v>1215</v>
      </c>
      <c r="D14" s="1148">
        <f>SUBTOTAL(9,D9:D13)</f>
        <v>3566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82</v>
      </c>
      <c r="C16" s="489">
        <f>IF(ISNUMBER(Datos!Q16),Datos!Q16," - ")</f>
        <v>88</v>
      </c>
      <c r="D16" s="456">
        <f>IF(ISNUMBER(Datos!R16),Datos!R16," - ")</f>
        <v>369</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2</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84</v>
      </c>
      <c r="C23" s="1150">
        <f>SUBTOTAL(9,C16:C22)</f>
        <v>89</v>
      </c>
      <c r="D23" s="1148">
        <f>SUBTOTAL(9,D16:D22)</f>
        <v>376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663</v>
      </c>
      <c r="C31" s="1089">
        <f>SUBTOTAL(9,C8:C30)</f>
        <v>1304</v>
      </c>
      <c r="D31" s="1090">
        <f>SUBTOTAL(9,D8:D30)</f>
        <v>3942</v>
      </c>
    </row>
    <row r="32" spans="1:4" ht="7.5" customHeight="1"/>
    <row r="33" spans="1:1" ht="6" customHeight="1"/>
    <row r="34" spans="1:1">
      <c r="A34" s="439" t="str">
        <f>Criterios!A4</f>
        <v>Fecha Informe: 06 may. 2023</v>
      </c>
    </row>
    <row r="39" spans="1:1">
      <c r="A39" s="462"/>
    </row>
  </sheetData>
  <sheetProtection algorithmName="SHA-512" hashValue="ApzYSADuz5ucDZmGsU+ge41GGI6yeuRO5LL8r5BlIezFhlDInGBEWMdHUNniLJghHdiAv+6oy3wc7KGtX+4/vw==" saltValue="32dj191N3pJnyvtL4qm+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GIRONA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0.1213618890719385</v>
      </c>
      <c r="C9" s="515">
        <f>IF(ISNUMBER(
   IF(J_V="SI",(Datos!J9-Datos!T9)/Datos!T9,(Datos!J9+Datos!Z9-(Datos!T9+Datos!AH9))/(Datos!T9+Datos!AH9))
     ),IF(J_V="SI",(Datos!J9-Datos!T9)/Datos!T9,(Datos!J9+Datos!Z9-(Datos!T9+Datos!AH9))/(Datos!T9+Datos!AH9))," - ")</f>
        <v>0.15359010936757014</v>
      </c>
      <c r="D9" s="515">
        <f>IF(ISNUMBER(
   IF(J_V="SI",(Datos!K9-Datos!U9)/Datos!U9,(Datos!K9+Datos!AA9-(Datos!U9+Datos!AI9))/(Datos!U9+Datos!AI9))
     ),IF(J_V="SI",(Datos!K9-Datos!U9)/Datos!U9,(Datos!K9+Datos!AA9-(Datos!U9+Datos!AI9))/(Datos!U9+Datos!AI9))," - ")</f>
        <v>0.46757679180887374</v>
      </c>
      <c r="E9" s="515">
        <f>IF(ISNUMBER(
   IF(J_V="SI",(Datos!L9-Datos!V9)/Datos!V9,(Datos!L9+Datos!AB9-(Datos!V9+Datos!AJ9))/(Datos!V9+Datos!AJ9))
     ),IF(J_V="SI",(Datos!L9-Datos!V9)/Datos!V9,(Datos!L9+Datos!AB9-(Datos!V9+Datos!AJ9))/(Datos!V9+Datos!AJ9))," - ")</f>
        <v>-1.4296463506395787E-2</v>
      </c>
      <c r="F9" s="515">
        <f>IF(ISNUMBER((Datos!M9-Datos!W9)/Datos!W9),(Datos!M9-Datos!W9)/Datos!W9," - ")</f>
        <v>0.34090909090909088</v>
      </c>
      <c r="G9" s="516">
        <f>IF(ISNUMBER((Datos!N9-Datos!X9)/Datos!X9),(Datos!N9-Datos!X9)/Datos!X9," - ")</f>
        <v>0.54102564102564099</v>
      </c>
      <c r="H9" s="514">
        <f>IF(ISNUMBER(((NºAsuntos!G9/NºAsuntos!E9)-Datos!BD9)/Datos!BD9),((NºAsuntos!G9/NºAsuntos!E9)-Datos!BD9)/Datos!BD9," - ")</f>
        <v>0.27218219009648043</v>
      </c>
      <c r="I9" s="515">
        <f>IF(ISNUMBER(((NºAsuntos!I9/NºAsuntos!G9)-Datos!BE9)/Datos!BE9),((NºAsuntos!I9/NºAsuntos!G9)-Datos!BE9)/Datos!BE9," - ")</f>
        <v>-0.32834619490086969</v>
      </c>
      <c r="J9" s="521">
        <f>IF(ISNUMBER((('Resol  Asuntos'!D9/NºAsuntos!G9)-Datos!BF9)/Datos!BF9),(('Resol  Asuntos'!D9/NºAsuntos!G9)-Datos!BF9)/Datos!BF9," - ")</f>
        <v>-0.43304412641621942</v>
      </c>
      <c r="K9" s="522">
        <f>IF(ISNUMBER((((NºAsuntos!C9+NºAsuntos!E9)/NºAsuntos!G9)-Datos!BG9)/Datos!BG9),(((NºAsuntos!C9+NºAsuntos!E9)/NºAsuntos!G9)-Datos!BG9)/Datos!BG9," - ")</f>
        <v>-0.22787054465966361</v>
      </c>
    </row>
    <row r="10" spans="1:11">
      <c r="A10" s="450" t="str">
        <f>Datos!A10</f>
        <v>Jdos. Violencia contra la mujer</v>
      </c>
      <c r="B10" s="514">
        <f>IF(ISNUMBER((Datos!I10-Datos!S10)/Datos!S10),(Datos!I10-Datos!S10)/Datos!S10," - ")</f>
        <v>0.1875</v>
      </c>
      <c r="C10" s="515">
        <f>IF(ISNUMBER((Datos!J10-Datos!T10)/Datos!T10),(Datos!J10-Datos!T10)/Datos!T10," - ")</f>
        <v>-0.45</v>
      </c>
      <c r="D10" s="515">
        <f>IF(ISNUMBER((Datos!K10-Datos!U10)/Datos!U10),(Datos!K10-Datos!U10)/Datos!U10," - ")</f>
        <v>-0.41666666666666669</v>
      </c>
      <c r="E10" s="515">
        <f>IF(ISNUMBER((Datos!L10-Datos!V10)/Datos!V10),(Datos!L10-Datos!V10)/Datos!V10," - ")</f>
        <v>8.3333333333333329E-2</v>
      </c>
      <c r="F10" s="515">
        <f>IF(ISNUMBER((Datos!M10-Datos!W10)/Datos!W10),(Datos!M10-Datos!W10)/Datos!W10," - ")</f>
        <v>-0.21428571428571427</v>
      </c>
      <c r="G10" s="516">
        <f>IF(ISNUMBER((Datos!N10-Datos!X10)/Datos!X10),(Datos!N10-Datos!X10)/Datos!X10," - ")</f>
        <v>-0.1111111111111111</v>
      </c>
      <c r="H10" s="514">
        <f>IF(ISNUMBER(((NºAsuntos!G10/NºAsuntos!E10)-Datos!BD10)/Datos!BD10),((NºAsuntos!G10/NºAsuntos!E10)-Datos!BD10)/Datos!BD10," - ")</f>
        <v>6.0606060606060622E-2</v>
      </c>
      <c r="I10" s="515">
        <f>IF(ISNUMBER(((NºAsuntos!I10/NºAsuntos!G10)-Datos!BE10)/Datos!BE10),((NºAsuntos!I10/NºAsuntos!G10)-Datos!BE10)/Datos!BE10," - ")</f>
        <v>0.85714285714285721</v>
      </c>
      <c r="J10" s="521">
        <f>IF(ISNUMBER((('Resol  Asuntos'!D10/NºAsuntos!G10)-Datos!BF10)/Datos!BF10),(('Resol  Asuntos'!D10/NºAsuntos!G10)-Datos!BF10)/Datos!BF10," - ")</f>
        <v>0.34693877551020413</v>
      </c>
      <c r="K10" s="522">
        <f>IF(ISNUMBER((((NºAsuntos!C10+NºAsuntos!E10)/NºAsuntos!G10)-Datos!BG10)/Datos!BG10),(((NºAsuntos!C10+NºAsuntos!E10)/NºAsuntos!G10)-Datos!BG10)/Datos!BG10," - ")</f>
        <v>0.4285714285714286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1.9933554817275746E-2</v>
      </c>
      <c r="C11" s="515">
        <f>IF(ISNUMBER(
   IF(J_V="SI",(Datos!J11-Datos!T11)/Datos!T11,(Datos!J11+Datos!Z11-(Datos!T11+Datos!AH11))/(Datos!T11+Datos!AH11))
     ),IF(J_V="SI",(Datos!J11-Datos!T11)/Datos!T11,(Datos!J11+Datos!Z11-(Datos!T11+Datos!AH11))/(Datos!T11+Datos!AH11))," - ")</f>
        <v>6.3559322033898302E-2</v>
      </c>
      <c r="D11" s="515">
        <f>IF(ISNUMBER(
   IF(J_V="SI",(Datos!K11-Datos!U11)/Datos!U11,(Datos!K11+Datos!AA11-(Datos!U11+Datos!AI11))/(Datos!U11+Datos!AI11))
     ),IF(J_V="SI",(Datos!K11-Datos!U11)/Datos!U11,(Datos!K11+Datos!AA11-(Datos!U11+Datos!AI11))/(Datos!U11+Datos!AI11))," - ")</f>
        <v>-0.10216110019646366</v>
      </c>
      <c r="E11" s="515">
        <f>IF(ISNUMBER(
   IF(J_V="SI",(Datos!L11-Datos!V11)/Datos!V11,(Datos!L11+Datos!AB11-(Datos!V11+Datos!AJ11))/(Datos!V11+Datos!AJ11))
     ),IF(J_V="SI",(Datos!L11-Datos!V11)/Datos!V11,(Datos!L11+Datos!AB11-(Datos!V11+Datos!AJ11))/(Datos!V11+Datos!AJ11))," - ")</f>
        <v>0.1663716814159292</v>
      </c>
      <c r="F11" s="515">
        <f>IF(ISNUMBER((Datos!M11-Datos!W11)/Datos!W11),(Datos!M11-Datos!W11)/Datos!W11," - ")</f>
        <v>-0.15</v>
      </c>
      <c r="G11" s="516">
        <f>IF(ISNUMBER((Datos!N11-Datos!X11)/Datos!X11),(Datos!N11-Datos!X11)/Datos!X11," - ")</f>
        <v>0.17096774193548386</v>
      </c>
      <c r="H11" s="514">
        <f>IF(ISNUMBER(((NºAsuntos!G11/NºAsuntos!E11)-Datos!BD11)/Datos!BD11),((NºAsuntos!G11/NºAsuntos!E11)-Datos!BD11)/Datos!BD11," - ")</f>
        <v>-0.15581681134010122</v>
      </c>
      <c r="I11" s="515">
        <f>IF(ISNUMBER(((NºAsuntos!I11/NºAsuntos!G11)-Datos!BE11)/Datos!BE11),((NºAsuntos!I11/NºAsuntos!G11)-Datos!BE11)/Datos!BE11," - ")</f>
        <v>0.29908793400592554</v>
      </c>
      <c r="J11" s="521">
        <f>IF(ISNUMBER((('Resol  Asuntos'!D11/NºAsuntos!G11)-Datos!BF11)/Datos!BF11),(('Resol  Asuntos'!D11/NºAsuntos!G11)-Datos!BF11)/Datos!BF11," - ")</f>
        <v>-0.63352862285593292</v>
      </c>
      <c r="K11" s="522">
        <f>IF(ISNUMBER((((NºAsuntos!C11+NºAsuntos!E11)/NºAsuntos!G11)-Datos!BG11)/Datos!BG11),(((NºAsuntos!C11+NºAsuntos!E11)/NºAsuntos!G11)-Datos!BG11)/Datos!BG11," - ")</f>
        <v>0.15734141779641334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0.10757717492984098</v>
      </c>
      <c r="C14" s="1152">
        <f>IF(ISNUMBER(
   IF(J_V="SI",(Datos!J14-Datos!T14)/Datos!T14,(Datos!J14+Datos!Z14-(Datos!T14+Datos!AH14))/(Datos!T14+Datos!AH14))
     ),IF(J_V="SI",(Datos!J14-Datos!T14)/Datos!T14,(Datos!J14+Datos!Z14-(Datos!T14+Datos!AH14))/(Datos!T14+Datos!AH14))," - ")</f>
        <v>0.12810707456978968</v>
      </c>
      <c r="D14" s="1152">
        <f>IF(ISNUMBER(
   IF(J_V="SI",(Datos!K14-Datos!U14)/Datos!U14,(Datos!K14+Datos!AA14-(Datos!U14+Datos!AI14))/(Datos!U14+Datos!AI14))
     ),IF(J_V="SI",(Datos!K14-Datos!U14)/Datos!U14,(Datos!K14+Datos!AA14-(Datos!U14+Datos!AI14))/(Datos!U14+Datos!AI14))," - ")</f>
        <v>0.32783326096396004</v>
      </c>
      <c r="E14" s="1152">
        <f>IF(ISNUMBER(
   IF(J_V="SI",(Datos!L14-Datos!V14)/Datos!V14,(Datos!L14+Datos!AB14-(Datos!V14+Datos!AJ14))/(Datos!V14+Datos!AJ14))
     ),IF(J_V="SI",(Datos!L14-Datos!V14)/Datos!V14,(Datos!L14+Datos!AB14-(Datos!V14+Datos!AJ14))/(Datos!V14+Datos!AJ14))," - ")</f>
        <v>8.7183958151700082E-3</v>
      </c>
      <c r="F14" s="1153">
        <f>IF(ISNUMBER((Datos!M14-Datos!W14)/Datos!W14),(Datos!M14-Datos!W14)/Datos!W14," - ")</f>
        <v>0.23300970873786409</v>
      </c>
      <c r="G14" s="1154">
        <f>IF(ISNUMBER((Datos!N14-Datos!X14)/Datos!X14),(Datos!N14-Datos!X14)/Datos!X14," - ")</f>
        <v>0.43130118289353958</v>
      </c>
      <c r="H14" s="1154">
        <f>IF(ISNUMBER(((NºAsuntos!G14/NºAsuntos!E14)-Datos!BD14)/Datos!BD14),((NºAsuntos!G14/NºAsuntos!E14)-Datos!BD14)/Datos!BD14," - ")</f>
        <v>0.17704541607483246</v>
      </c>
      <c r="I14" s="1154">
        <f>IF(ISNUMBER(((NºAsuntos!I14/NºAsuntos!G14)-Datos!BE14)/Datos!BE14),((NºAsuntos!I14/NºAsuntos!G14)-Datos!BE14)/Datos!BE14," - ")</f>
        <v>-0.24032751289655441</v>
      </c>
      <c r="J14" s="1154">
        <f>IF(ISNUMBER((('Resol  Asuntos'!D14/NºAsuntos!G14)-Datos!BF14)/Datos!BF14),(('Resol  Asuntos'!D14/NºAsuntos!G14)-Datos!BF14)/Datos!BF14," - ")</f>
        <v>-0.48019272329172236</v>
      </c>
      <c r="K14" s="1154">
        <f>IF(ISNUMBER((((NºAsuntos!C14+NºAsuntos!E14)/NºAsuntos!G14)-Datos!BG14)/Datos!BG14),(((NºAsuntos!C14+NºAsuntos!E14)/NºAsuntos!G14)-Datos!BG14)/Datos!BG14," - ")</f>
        <v>-0.16000908854584125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0.56331360946745557</v>
      </c>
      <c r="C16" s="515">
        <f>IF(ISNUMBER(
   IF(D_I="SI",(Datos!J16-Datos!T16)/Datos!T16,(Datos!J16+Datos!AD16-(Datos!T16+Datos!AL16))/(Datos!T16+Datos!AL16))
     ),IF(D_I="SI",(Datos!J16-Datos!T16)/Datos!T16,(Datos!J16+Datos!AD16-(Datos!T16+Datos!AL16))/(Datos!T16+Datos!AL16))," - ")</f>
        <v>4.2693509198195069E-2</v>
      </c>
      <c r="D16" s="515">
        <f>IF(ISNUMBER(
   IF(D_I="SI",(Datos!K16-Datos!U16)/Datos!U16,(Datos!K16+Datos!AE16-(Datos!U16+Datos!AM16))/(Datos!U16+Datos!AM16))
     ),IF(D_I="SI",(Datos!K16-Datos!U16)/Datos!U16,(Datos!K16+Datos!AE16-(Datos!U16+Datos!AM16))/(Datos!U16+Datos!AM16))," - ")</f>
        <v>8.9762076423936549E-2</v>
      </c>
      <c r="E16" s="515">
        <f>IF(ISNUMBER(
   IF(D_I="SI",(Datos!L16-Datos!V16)/Datos!V16,(Datos!L16+Datos!AF16-(Datos!V16+Datos!AN16))/(Datos!V16+Datos!AN16))
     ),IF(D_I="SI",(Datos!L16-Datos!V16)/Datos!V16,(Datos!L16+Datos!AF16-(Datos!V16+Datos!AN16))/(Datos!V16+Datos!AN16))," - ")</f>
        <v>0.43468834688346886</v>
      </c>
      <c r="F16" s="515">
        <f>IF(ISNUMBER((Datos!M16-Datos!W16)/Datos!W16),(Datos!M16-Datos!W16)/Datos!W16," - ")</f>
        <v>0.29841269841269841</v>
      </c>
      <c r="G16" s="516">
        <f>IF(ISNUMBER((Datos!N16-Datos!X16)/Datos!X16),(Datos!N16-Datos!X16)/Datos!X16," - ")</f>
        <v>-0.29994036970781157</v>
      </c>
      <c r="H16" s="514">
        <f>IF(ISNUMBER(((NºAsuntos!G16/NºAsuntos!E16)-Datos!BD16)/Datos!BD16),((NºAsuntos!G16/NºAsuntos!E16)-Datos!BD16)/Datos!BD16," - ")</f>
        <v>4.5141325624953793E-2</v>
      </c>
      <c r="I16" s="515">
        <f>IF(ISNUMBER(((NºAsuntos!I16/NºAsuntos!G16)-Datos!BE16)/Datos!BE16),((NºAsuntos!I16/NºAsuntos!G16)-Datos!BE16)/Datos!BE16," - ")</f>
        <v>0.31651520815572015</v>
      </c>
      <c r="J16" s="521">
        <f>IF(ISNUMBER((('Resol  Asuntos'!D16/NºAsuntos!G16)-Datos!BF16)/Datos!BF16),(('Resol  Asuntos'!D16/NºAsuntos!G16)-Datos!BF16)/Datos!BF16," - ")</f>
        <v>0.19146438154046505</v>
      </c>
      <c r="K16" s="522">
        <f>IF(ISNUMBER((((NºAsuntos!C16+NºAsuntos!E16)/NºAsuntos!G16)-Datos!BG16)/Datos!BG16),(((NºAsuntos!C16+NºAsuntos!E16)/NºAsuntos!G16)-Datos!BG16)/Datos!BG16," - ")</f>
        <v>0.13343850431892648</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7.3170731707317069E-2</v>
      </c>
      <c r="C18" s="515">
        <f>IF(ISNUMBER(
   IF(D_I="SI",(Datos!J18-Datos!T18)/Datos!T18,(Datos!J18+Datos!AD18-(Datos!T18+Datos!AL18))/(Datos!T18+Datos!AL18))
     ),IF(D_I="SI",(Datos!J18-Datos!T18)/Datos!T18,(Datos!J18+Datos!AD18-(Datos!T18+Datos!AL18))/(Datos!T18+Datos!AL18))," - ")</f>
        <v>0.16342412451361868</v>
      </c>
      <c r="D18" s="515">
        <f>IF(ISNUMBER(
   IF(D_I="SI",(Datos!K18-Datos!U18)/Datos!U18,(Datos!K18+Datos!AE18-(Datos!U18+Datos!AM18))/(Datos!U18+Datos!AM18))
     ),IF(D_I="SI",(Datos!K18-Datos!U18)/Datos!U18,(Datos!K18+Datos!AE18-(Datos!U18+Datos!AM18))/(Datos!U18+Datos!AM18))," - ")</f>
        <v>0.16595744680851063</v>
      </c>
      <c r="E18" s="515">
        <f>IF(ISNUMBER(
   IF(D_I="SI",(Datos!L18-Datos!V18)/Datos!V18,(Datos!L18+Datos!AF18-(Datos!V18+Datos!AN18))/(Datos!V18+Datos!AN18))
     ),IF(D_I="SI",(Datos!L18-Datos!V18)/Datos!V18,(Datos!L18+Datos!AF18-(Datos!V18+Datos!AN18))/(Datos!V18+Datos!AN18))," - ")</f>
        <v>8.6538461538461536E-2</v>
      </c>
      <c r="F18" s="515">
        <f>IF(ISNUMBER((Datos!M18-Datos!W18)/Datos!W18),(Datos!M18-Datos!W18)/Datos!W18," - ")</f>
        <v>3.5</v>
      </c>
      <c r="G18" s="516">
        <f>IF(ISNUMBER((Datos!N18-Datos!X18)/Datos!X18),(Datos!N18-Datos!X18)/Datos!X18," - ")</f>
        <v>0.33333333333333331</v>
      </c>
      <c r="H18" s="514">
        <f>IF(ISNUMBER(((NºAsuntos!G18/NºAsuntos!E18)-Datos!BD18)/Datos!BD18),((NºAsuntos!G18/NºAsuntos!E18)-Datos!BD18)/Datos!BD18," - ")</f>
        <v>2.1774710026328608E-3</v>
      </c>
      <c r="I18" s="515">
        <f>IF(ISNUMBER(((NºAsuntos!I18/NºAsuntos!G18)-Datos!BE18)/Datos!BE18),((NºAsuntos!I18/NºAsuntos!G18)-Datos!BE18)/Datos!BE18," - ")</f>
        <v>-6.8114823133071253E-2</v>
      </c>
      <c r="J18" s="521">
        <f>IF(ISNUMBER((('Resol  Asuntos'!D18/NºAsuntos!G18)-Datos!BF18)/Datos!BF18),(('Resol  Asuntos'!D18/NºAsuntos!G18)-Datos!BF18)/Datos!BF18," - ")</f>
        <v>2.8594890510948909</v>
      </c>
      <c r="K18" s="522">
        <f>IF(ISNUMBER((((NºAsuntos!C18+NºAsuntos!E18)/NºAsuntos!G18)-Datos!BG18)/Datos!BG18),(((NºAsuntos!C18+NºAsuntos!E18)/NºAsuntos!G18)-Datos!BG18)/Datos!BG18," - ")</f>
        <v>-2.0896582908080781E-2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0.54002254791431792</v>
      </c>
      <c r="C23" s="1152">
        <f>IF(ISNUMBER(
   IF(Criterios!B14="SI",(Datos!J23-Datos!T23)/Datos!T23,(Datos!J23+Datos!AD23-(Datos!T23+Datos!AL23))/(Datos!T23+Datos!AL23))
     ),IF(Criterios!B14="SI",(Datos!J23-Datos!T23)/Datos!T23,(Datos!J23+Datos!AD23-(Datos!T23+Datos!AL23))/(Datos!T23+Datos!AL23))," - ")</f>
        <v>5.2581261950286805E-2</v>
      </c>
      <c r="D23" s="1152">
        <f>IF(ISNUMBER(
   IF(Criterios!B14="SI",(Datos!K23-Datos!U23)/Datos!U23,(Datos!K23+Datos!AE23-(Datos!U23+Datos!AM23))/(Datos!U23+Datos!AM23))
     ),IF(Criterios!B14="SI",(Datos!K23-Datos!U23)/Datos!U23,(Datos!K23+Datos!AE23-(Datos!U23+Datos!AM23))/(Datos!U23+Datos!AM23))," - ")</f>
        <v>9.5712861415752748E-2</v>
      </c>
      <c r="E23" s="1152">
        <f>IF(ISNUMBER(
   IF(Criterios!B14="SI",(Datos!L23-Datos!V23)/Datos!V23,(Datos!L23+Datos!AF23-(Datos!V23+Datos!AN23))/(Datos!V23+Datos!AN23))
     ),IF(Criterios!B14="SI",(Datos!L23-Datos!V23)/Datos!V23,(Datos!L23+Datos!AF23-(Datos!V23+Datos!AN23))/(Datos!V23+Datos!AN23))," - ")</f>
        <v>0.41568426447975398</v>
      </c>
      <c r="F23" s="1153">
        <f>IF(ISNUMBER((Datos!M23-Datos!W23)/Datos!W23),(Datos!M23-Datos!W23)/Datos!W23," - ")</f>
        <v>0.31861198738170349</v>
      </c>
      <c r="G23" s="1154">
        <f>IF(ISNUMBER((Datos!N23-Datos!X23)/Datos!X23),(Datos!N23-Datos!X23)/Datos!X23," - ")</f>
        <v>-0.24509803921568626</v>
      </c>
      <c r="H23" s="1154">
        <f>IF(ISNUMBER(((NºAsuntos!G23/NºAsuntos!E23)-Datos!BD23)/Datos!BD23),((NºAsuntos!G23/NºAsuntos!E23)-Datos!BD23)/Datos!BD23," - ")</f>
        <v>4.0976978238762306E-2</v>
      </c>
      <c r="I23" s="1154">
        <f>IF(ISNUMBER(((NºAsuntos!I23/NºAsuntos!G23)-Datos!BE23)/Datos!BE23),((NºAsuntos!I23/NºAsuntos!G23)-Datos!BE23)/Datos!BE23," - ")</f>
        <v>0.29202121680909293</v>
      </c>
      <c r="J23" s="1154">
        <f>IF(ISNUMBER((('Resol  Asuntos'!D23/NºAsuntos!G23)-Datos!BF23)/Datos!BF23),(('Resol  Asuntos'!D23/NºAsuntos!G23)-Datos!BF23)/Datos!BF23," - ")</f>
        <v>0.2034284106859405</v>
      </c>
      <c r="K23" s="1154">
        <f>IF(ISNUMBER((((NºAsuntos!C23+NºAsuntos!E23)/NºAsuntos!G23)-Datos!BG23)/Datos!BG23),(((NºAsuntos!C23+NºAsuntos!E23)/NºAsuntos!G23)-Datos!BG23)/Datos!BG23," - ")</f>
        <v>0.12130086427400678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0.2343801652892562</v>
      </c>
      <c r="C31" s="1092">
        <f>IF(ISNUMBER(
   IF(J_V="SI",(Datos!J31-Datos!T31)/Datos!T31,(Datos!J31+Datos!Z31-(Datos!T31+Datos!AH31))/(Datos!T31+Datos!AH31))
     ),IF(J_V="SI",(Datos!J31-Datos!T31)/Datos!T31,(Datos!J31+Datos!Z31-(Datos!T31+Datos!AH31))/(Datos!T31+Datos!AH31))," - ")</f>
        <v>8.6911176777333565E-2</v>
      </c>
      <c r="D31" s="1092">
        <f>IF(ISNUMBER(
   IF(J_V="SI",(Datos!K31-Datos!U31)/Datos!U31,(Datos!K31+Datos!AA31-(Datos!U31+Datos!AI31))/(Datos!U31+Datos!AI31))
     ),IF(J_V="SI",(Datos!K31-Datos!U31)/Datos!U31,(Datos!K31+Datos!AA31-(Datos!U31+Datos!AI31))/(Datos!U31+Datos!AI31))," - ")</f>
        <v>0.19634789156626506</v>
      </c>
      <c r="E31" s="1092">
        <f>IF(ISNUMBER(
   IF(J_V="SI",(Datos!L31-Datos!V31)/Datos!V31,(Datos!L31+Datos!AB31-(Datos!V31+Datos!AJ31))/(Datos!V31+Datos!AJ31))
     ),IF(J_V="SI",(Datos!L31-Datos!V31)/Datos!V31,(Datos!L31+Datos!AB31-(Datos!V31+Datos!AJ31))/(Datos!V31+Datos!AJ31))," - ")</f>
        <v>0.13014222358158739</v>
      </c>
      <c r="F31" s="1093">
        <f>IF(ISNUMBER((Datos!M31-Datos!W31)/Datos!W31),(Datos!M31-Datos!W31)/Datos!W31," - ")</f>
        <v>0.26203208556149732</v>
      </c>
      <c r="G31" s="1094">
        <f>IF(ISNUMBER((Datos!N31-Datos!X31)/Datos!X31),(Datos!N31-Datos!X31)/Datos!X31," - ")</f>
        <v>8.1771720613287909E-3</v>
      </c>
      <c r="H31" s="1095">
        <f>IF(ISNUMBER((Tasas!B31-Datos!BD31)/Datos!BD31),(Tasas!B31-Datos!BD31)/Datos!BD31," - ")</f>
        <v>0.10068597795949508</v>
      </c>
      <c r="I31" s="1096">
        <f>IF(ISNUMBER((Tasas!C31-Datos!BE31)/Datos!BE31),(Tasas!C31-Datos!BE31)/Datos!BE31," - ")</f>
        <v>-5.5339812483809273E-2</v>
      </c>
      <c r="J31" s="1097">
        <f>IF(ISNUMBER((Tasas!D31-Datos!BF31)/Datos!BF31),(Tasas!D31-Datos!BF31)/Datos!BF31," - ")</f>
        <v>-0.30588658046576844</v>
      </c>
      <c r="K31" s="1097">
        <f>IF(ISNUMBER((Tasas!E31-Datos!BG31)/Datos!BG31),(Tasas!E31-Datos!BG31)/Datos!BG31," - ")</f>
        <v>-2.8291797688688558E-2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ZfZXVjIX7Cp70MTO8sftq5lY08NdwkC2AxOdk/x9o6gCUY8Hxqpxt5rx0fEmu6lrk+SjHuMF2uppI+ICx96zQ==" saltValue="9rk99WaBVy5H5WXFXIWu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GIRONA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1.0634789777411378</v>
      </c>
      <c r="C9" s="498">
        <f>IF(ISNUMBER(NºAsuntos!I9/NºAsuntos!G9),NºAsuntos!I9/NºAsuntos!G9," - ")</f>
        <v>1.5232558139534884</v>
      </c>
      <c r="D9" s="499">
        <f>IF(ISNUMBER('Resol  Asuntos'!D9/NºAsuntos!G9),'Resol  Asuntos'!D9/NºAsuntos!G9," - ")</f>
        <v>0.25155038759689924</v>
      </c>
      <c r="E9" s="500">
        <f>IF(ISNUMBER((NºAsuntos!C9+NºAsuntos!E9)/NºAsuntos!G9),(NºAsuntos!C9+NºAsuntos!E9)/NºAsuntos!G9," - ")</f>
        <v>2.5232558139534884</v>
      </c>
      <c r="G9" s="523"/>
    </row>
    <row r="10" spans="1:7">
      <c r="A10" s="450" t="str">
        <f>Datos!A10</f>
        <v>Jdos. Violencia contra la mujer</v>
      </c>
      <c r="B10" s="497">
        <f>IF(ISNUMBER(NºAsuntos!G10/NºAsuntos!E10),NºAsuntos!G10/NºAsuntos!E10," - ")</f>
        <v>0.95454545454545459</v>
      </c>
      <c r="C10" s="498">
        <f>IF(ISNUMBER(NºAsuntos!I10/NºAsuntos!G10),NºAsuntos!I10/NºAsuntos!G10," - ")</f>
        <v>1.8571428571428572</v>
      </c>
      <c r="D10" s="499">
        <f>IF(ISNUMBER('Resol  Asuntos'!D10/NºAsuntos!G10),'Resol  Asuntos'!D10/NºAsuntos!G10," - ")</f>
        <v>0.52380952380952384</v>
      </c>
      <c r="E10" s="500">
        <f>IF(ISNUMBER((NºAsuntos!C10+NºAsuntos!E10)/NºAsuntos!G10),(NºAsuntos!C10+NºAsuntos!E10)/NºAsuntos!G10," - ")</f>
        <v>2.8571428571428572</v>
      </c>
      <c r="G10" s="523"/>
    </row>
    <row r="11" spans="1:7">
      <c r="A11" s="450" t="str">
        <f>Datos!A11</f>
        <v xml:space="preserve">Jdos. Familia                                   </v>
      </c>
      <c r="B11" s="497">
        <f>IF(ISNUMBER(NºAsuntos!G11/NºAsuntos!E11),NºAsuntos!G11/NºAsuntos!E11," - ")</f>
        <v>0.91035856573705176</v>
      </c>
      <c r="C11" s="498">
        <f>IF(ISNUMBER(NºAsuntos!I11/NºAsuntos!G11),NºAsuntos!I11/NºAsuntos!G11," - ")</f>
        <v>1.4420131291028446</v>
      </c>
      <c r="D11" s="499">
        <f>IF(ISNUMBER('Resol  Asuntos'!D11/NºAsuntos!G11),'Resol  Asuntos'!D11/NºAsuntos!G11," - ")</f>
        <v>0.22319474835886213</v>
      </c>
      <c r="E11" s="500">
        <f>IF(ISNUMBER((NºAsuntos!C11+NºAsuntos!E11)/NºAsuntos!G11),(NºAsuntos!C11+NºAsuntos!E11)/NºAsuntos!G11," - ")</f>
        <v>2.4420131291028446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1.0366101694915255</v>
      </c>
      <c r="C14" s="1156">
        <f>IF(ISNUMBER(NºAsuntos!I14/NºAsuntos!G14),NºAsuntos!I14/NºAsuntos!G14," - ")</f>
        <v>1.5134074558534991</v>
      </c>
      <c r="D14" s="1157">
        <f>IF(ISNUMBER('Resol  Asuntos'!D14/NºAsuntos!G14),'Resol  Asuntos'!D14/NºAsuntos!G14," - ")</f>
        <v>0.24918247220405493</v>
      </c>
      <c r="E14" s="1158">
        <f>IF(ISNUMBER((NºAsuntos!C14+NºAsuntos!E14)/NºAsuntos!G14),(NºAsuntos!C14+NºAsuntos!E14)/NºAsuntos!G14," - ")</f>
        <v>2.5134074558534989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1.0063249001331558</v>
      </c>
      <c r="C16" s="498">
        <f>IF(ISNUMBER(NºAsuntos!I16/NºAsuntos!G16),NºAsuntos!I16/NºAsuntos!G16," - ")</f>
        <v>0.87562024478994371</v>
      </c>
      <c r="D16" s="499">
        <f>IF(ISNUMBER('Resol  Asuntos'!D16/NºAsuntos!G16),'Resol  Asuntos'!D16/NºAsuntos!G16," - ")</f>
        <v>0.1352960635130665</v>
      </c>
      <c r="E16" s="500">
        <f>IF(ISNUMBER((NºAsuntos!C16+NºAsuntos!E16)/NºAsuntos!G16),(NºAsuntos!C16+NºAsuntos!E16)/NºAsuntos!G16," - ")</f>
        <v>1.8676811114786636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0.91638795986622068</v>
      </c>
      <c r="C18" s="498">
        <f>IF(ISNUMBER(NºAsuntos!I18/NºAsuntos!G18),NºAsuntos!I18/NºAsuntos!G18," - ")</f>
        <v>0.41240875912408759</v>
      </c>
      <c r="D18" s="499">
        <f>IF(ISNUMBER('Resol  Asuntos'!D18/NºAsuntos!G18),'Resol  Asuntos'!D18/NºAsuntos!G18," - ")</f>
        <v>3.2846715328467155E-2</v>
      </c>
      <c r="E18" s="500">
        <f>IF(ISNUMBER((NºAsuntos!C18+NºAsuntos!E18)/NºAsuntos!G18),(NºAsuntos!C18+NºAsuntos!E18)/NºAsuntos!G18," - ")</f>
        <v>1.4124087591240877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0.99818346957311532</v>
      </c>
      <c r="C23" s="1156">
        <f>IF(ISNUMBER(NºAsuntos!I23/NºAsuntos!G23),NºAsuntos!I23/NºAsuntos!G23," - ")</f>
        <v>0.83773127085228993</v>
      </c>
      <c r="D23" s="1159">
        <f>IF(ISNUMBER('Resol  Asuntos'!D23/NºAsuntos!G23),'Resol  Asuntos'!D23/NºAsuntos!G23," - ")</f>
        <v>0.12678192296026691</v>
      </c>
      <c r="E23" s="1158">
        <f>IF(ISNUMBER((NºAsuntos!C23+NºAsuntos!E23)/NºAsuntos!G23),(NºAsuntos!C23+NºAsuntos!E23)/NºAsuntos!G23," - ")</f>
        <v>1.8304519259933272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1.016312170158324</v>
      </c>
      <c r="C31" s="1099">
        <f>IF(ISNUMBER(NºAsuntos!I31/NºAsuntos!G31),NºAsuntos!I31/NºAsuntos!G31," - ")</f>
        <v>1.1628638867033831</v>
      </c>
      <c r="D31" s="1100">
        <f>IF(ISNUMBER('Resol  Asuntos'!D31/NºAsuntos!G31),'Resol  Asuntos'!D31/NºAsuntos!G31," - ")</f>
        <v>0.18568056648308418</v>
      </c>
      <c r="E31" s="1101">
        <f>IF(ISNUMBER((NºAsuntos!C31+NºAsuntos!E31)/NºAsuntos!G31),(NºAsuntos!C31+NºAsuntos!E31)/NºAsuntos!G31," - ")</f>
        <v>2.159087332808812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dEyPxtCOqAsE8nACrTdb8hMjKwbDtyjW1if7pI0E5AuOyFY8r6WfIFj+GBb2bwuclYNBROCfXiWz4NWjraQeQ==" saltValue="VmYUM9bIcblaHJJMcQUO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GIRONA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1104</v>
      </c>
      <c r="Y9" s="374">
        <f>SUM(W9:X9)</f>
        <v>1104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3012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649</v>
      </c>
      <c r="AJ9" s="243" t="str">
        <f>IF(ISNUMBER(Datos!BW9),Datos!BW9," - ")</f>
        <v xml:space="preserve"> - </v>
      </c>
      <c r="AK9" s="242" t="str">
        <f>IF(ISNUMBER(Datos!BX9),Datos!BX9," - ")</f>
        <v xml:space="preserve"> - </v>
      </c>
      <c r="AL9" s="266">
        <f>IF(ISNUMBER(NºAsuntos!G9/NºAsuntos!E9),NºAsuntos!G9/NºAsuntos!E9," - ")</f>
        <v>1.0634789777411378</v>
      </c>
      <c r="AM9" s="284">
        <f>IF(ISNUMBER(((NºAsuntos!I9/NºAsuntos!G9)*11)/factor_trimestre),((NºAsuntos!I9/NºAsuntos!G9)*11)/factor_trimestre," - ")</f>
        <v>3.0465116279069764</v>
      </c>
      <c r="AN9" s="267">
        <f>IF(ISNUMBER('Resol  Asuntos'!D9/NºAsuntos!G9),'Resol  Asuntos'!D9/NºAsuntos!G9," - ")</f>
        <v>0.25155038759689924</v>
      </c>
      <c r="AO9" s="268">
        <f>IF(ISNUMBER((NºAsuntos!C9+NºAsuntos!E9)/NºAsuntos!G9),(NºAsuntos!C9+NºAsuntos!E9)/NºAsuntos!G9," - ")</f>
        <v>2.5232558139534884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2</v>
      </c>
      <c r="Y10" s="374">
        <f t="shared" ref="Y10:Y13" si="0">SUM(W10:X10)</f>
        <v>23</v>
      </c>
      <c r="Z10" s="375" t="str">
        <f>IF(ISNUMBER(Datos!CC10),Datos!CC10," - ")</f>
        <v xml:space="preserve"> - </v>
      </c>
      <c r="AA10" s="372">
        <f>IF(ISNUMBER(Datos!L10),Datos!L10,"-")</f>
        <v>39</v>
      </c>
      <c r="AB10" s="374">
        <f>IF(ISNUMBER(Datos!R10),Datos!R10," - ")</f>
        <v>95</v>
      </c>
      <c r="AC10" s="374">
        <f t="shared" ref="AC10:AC13" si="1">IF(ISNUMBER(AA10+AB10),AA10+AB10," - ")</f>
        <v>134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0.95454545454545459</v>
      </c>
      <c r="AM10" s="284">
        <f>IF(ISNUMBER(((NºAsuntos!I10/NºAsuntos!G10)*11)/factor_trimestre),((NºAsuntos!I10/NºAsuntos!G10)*11)/factor_trimestre," - ")</f>
        <v>3.7142857142857149</v>
      </c>
      <c r="AN10" s="267">
        <f>IF(ISNUMBER('Resol  Asuntos'!D10/NºAsuntos!G10),'Resol  Asuntos'!D10/NºAsuntos!G10," - ")</f>
        <v>0.52380952380952384</v>
      </c>
      <c r="AO10" s="268">
        <f>IF(ISNUMBER((NºAsuntos!C10+NºAsuntos!E10)/NºAsuntos!G10),(NºAsuntos!C10+NºAsuntos!E10)/NºAsuntos!G10," - ")</f>
        <v>2.8571428571428572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109</v>
      </c>
      <c r="Y11" s="374">
        <f t="shared" si="0"/>
        <v>109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459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102</v>
      </c>
      <c r="AJ11" s="245" t="str">
        <f>IF(ISNUMBER(Datos!BW11),Datos!BW11," - ")</f>
        <v xml:space="preserve"> - </v>
      </c>
      <c r="AK11" s="246" t="str">
        <f>IF(ISNUMBER(Datos!BX11),Datos!BX11," - ")</f>
        <v xml:space="preserve"> - </v>
      </c>
      <c r="AL11" s="266">
        <f>IF(ISNUMBER(NºAsuntos!G11/NºAsuntos!E11),NºAsuntos!G11/NºAsuntos!E11," - ")</f>
        <v>0.91035856573705176</v>
      </c>
      <c r="AM11" s="284">
        <f>IF(ISNUMBER(((NºAsuntos!I11/NºAsuntos!G11)*11)/factor_trimestre),((NºAsuntos!I11/NºAsuntos!G11)*11)/factor_trimestre," - ")</f>
        <v>2.8840262582056893</v>
      </c>
      <c r="AN11" s="267">
        <f>IF(ISNUMBER('Resol  Asuntos'!D11/NºAsuntos!G11),'Resol  Asuntos'!D11/NºAsuntos!G11," - ")</f>
        <v>0.22319474835886213</v>
      </c>
      <c r="AO11" s="268">
        <f>IF(ISNUMBER((NºAsuntos!C11+NºAsuntos!E11)/NºAsuntos!G11),(NºAsuntos!C11+NºAsuntos!E11)/NºAsuntos!G11," - ")</f>
        <v>2.4420131291028446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38</v>
      </c>
      <c r="G14" s="1163">
        <f t="shared" si="5"/>
        <v>38</v>
      </c>
      <c r="H14" s="1162">
        <f t="shared" si="5"/>
        <v>0</v>
      </c>
      <c r="I14" s="1164">
        <f t="shared" si="5"/>
        <v>0</v>
      </c>
      <c r="J14" s="1164">
        <f t="shared" si="5"/>
        <v>0</v>
      </c>
      <c r="K14" s="1164">
        <f t="shared" si="5"/>
        <v>0</v>
      </c>
      <c r="L14" s="1164">
        <f t="shared" si="5"/>
        <v>579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1215</v>
      </c>
      <c r="Y14" s="1165">
        <f t="shared" si="6"/>
        <v>1236</v>
      </c>
      <c r="Z14" s="1165">
        <f t="shared" si="6"/>
        <v>0</v>
      </c>
      <c r="AA14" s="1165">
        <f t="shared" si="6"/>
        <v>39</v>
      </c>
      <c r="AB14" s="1165">
        <f t="shared" si="6"/>
        <v>3566</v>
      </c>
      <c r="AC14" s="1165">
        <f t="shared" si="6"/>
        <v>134</v>
      </c>
      <c r="AD14" s="1165">
        <f t="shared" si="6"/>
        <v>0</v>
      </c>
      <c r="AE14" s="1169">
        <f t="shared" si="6"/>
        <v>0</v>
      </c>
      <c r="AF14" s="1162">
        <f t="shared" si="6"/>
        <v>0</v>
      </c>
      <c r="AG14" s="1170">
        <f t="shared" si="6"/>
        <v>0</v>
      </c>
      <c r="AH14" s="1167">
        <f t="shared" si="6"/>
        <v>0</v>
      </c>
      <c r="AI14" s="1162">
        <f t="shared" si="6"/>
        <v>762</v>
      </c>
      <c r="AJ14" s="1164">
        <f t="shared" si="6"/>
        <v>0</v>
      </c>
      <c r="AK14" s="1167">
        <f>SUBTOTAL(9,AK9:AK13)</f>
        <v>0</v>
      </c>
      <c r="AL14" s="1171">
        <f>IF(ISNUMBER(NºAsuntos!G14/NºAsuntos!E14),NºAsuntos!G14/NºAsuntos!E14," - ")</f>
        <v>1.0366101694915255</v>
      </c>
      <c r="AM14" s="1171">
        <f>IF(ISNUMBER(((NºAsuntos!I14/NºAsuntos!G14)*11)/factor_trimestre),((NºAsuntos!I14/NºAsuntos!G14)*11)/factor_trimestre," - ")</f>
        <v>3.0268149117069982</v>
      </c>
      <c r="AN14" s="1172">
        <f>IF(ISNUMBER('Resol  Asuntos'!D14/NºAsuntos!G14),'Resol  Asuntos'!D14/NºAsuntos!G14," - ")</f>
        <v>0.24918247220405493</v>
      </c>
      <c r="AO14" s="1173">
        <f>IF(ISNUMBER((NºAsuntos!C14+NºAsuntos!E14)/NºAsuntos!G14),(NºAsuntos!C14+NºAsuntos!E14)/NºAsuntos!G14," - ")</f>
        <v>2.5134074558534989</v>
      </c>
      <c r="AP14" s="1174" t="str">
        <f t="shared" si="2"/>
        <v xml:space="preserve"> - </v>
      </c>
      <c r="AQ14" s="1174">
        <f>IF(ISNUMBER((H14-W14+K14)/(F14)),(H14-W14+K14)/(F14)," - ")</f>
        <v>-0.55263157894736847</v>
      </c>
      <c r="AR14" s="1175">
        <f>IF(ISNUMBER((Datos!P14-Datos!Q14)/(Datos!R14-Datos!P14+Datos!Q14)),(Datos!P14-Datos!Q14)/(Datos!R14-Datos!P14+Datos!Q14)," - ")</f>
        <v>-0.15135649690623512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2666</v>
      </c>
      <c r="G16" s="373">
        <f>IF(ISNUMBER(IF(D_I="SI",Datos!I16,Datos!I16+Datos!AC16)),IF(D_I="SI",Datos!I16,Datos!I16+Datos!AC16)," - ")</f>
        <v>2642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3023</v>
      </c>
      <c r="X16" s="240">
        <f>IF(ISNUMBER(Datos!Q16),Datos!Q16," - ")</f>
        <v>88</v>
      </c>
      <c r="Y16" s="374">
        <f>SUM(W16)</f>
        <v>3023</v>
      </c>
      <c r="Z16" s="375" t="str">
        <f>IF(ISNUMBER(Datos!CC16),Datos!CC16," - ")</f>
        <v xml:space="preserve"> - </v>
      </c>
      <c r="AA16" s="372">
        <f>IF(ISNUMBER(IF(D_I="SI",Datos!L16,Datos!L16+Datos!AF16)),IF(D_I="SI",Datos!L16,Datos!L16+Datos!AF16)," - ")</f>
        <v>2647</v>
      </c>
      <c r="AB16" s="374">
        <f>IF(ISNUMBER(Datos!R16),Datos!R16," - ")</f>
        <v>369</v>
      </c>
      <c r="AC16" s="374">
        <f t="shared" ref="AC16:AC22" si="8">IF(ISNUMBER(AA16+AB16),AA16+AB16," - ")</f>
        <v>3016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409</v>
      </c>
      <c r="AJ16" s="245" t="str">
        <f>IF(ISNUMBER(Datos!BW16),Datos!BW16," - ")</f>
        <v xml:space="preserve"> - </v>
      </c>
      <c r="AK16" s="246" t="str">
        <f>IF(ISNUMBER(Datos!BX16),Datos!BX16," - ")</f>
        <v xml:space="preserve"> - </v>
      </c>
      <c r="AL16" s="266">
        <f>IF(ISNUMBER(NºAsuntos!G16/NºAsuntos!E16),NºAsuntos!G16/NºAsuntos!E16," - ")</f>
        <v>1.0063249001331558</v>
      </c>
      <c r="AM16" s="284">
        <f>IF(ISNUMBER(((NºAsuntos!I16/NºAsuntos!G16)*11)/factor_trimestre),((NºAsuntos!I16/NºAsuntos!G16)*11)/factor_trimestre," - ")</f>
        <v>1.7512404895798874</v>
      </c>
      <c r="AN16" s="267">
        <f>IF(ISNUMBER('Resol  Asuntos'!D16/NºAsuntos!G16),'Resol  Asuntos'!D16/NºAsuntos!G16," - ")</f>
        <v>0.1352960635130665</v>
      </c>
      <c r="AO16" s="268">
        <f>IF(ISNUMBER((NºAsuntos!C16+NºAsuntos!E16)/NºAsuntos!G16),(NºAsuntos!C16+NºAsuntos!E16)/NºAsuntos!G16," - ")</f>
        <v>1.8676811114786636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2</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274</v>
      </c>
      <c r="X18" s="240">
        <f>IF(ISNUMBER(Datos!Q18),Datos!Q18," - ")</f>
        <v>1</v>
      </c>
      <c r="Y18" s="374">
        <f t="shared" si="9"/>
        <v>275</v>
      </c>
      <c r="Z18" s="375" t="str">
        <f>IF(ISNUMBER(Datos!CC18),Datos!CC18," - ")</f>
        <v xml:space="preserve"> - </v>
      </c>
      <c r="AA18" s="372">
        <f>IF(ISNUMBER(Datos!L18),Datos!L18,"-")</f>
        <v>113</v>
      </c>
      <c r="AB18" s="374">
        <f>IF(ISNUMBER(Datos!R18),Datos!R18," - ")</f>
        <v>5</v>
      </c>
      <c r="AC18" s="374">
        <f t="shared" si="8"/>
        <v>118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0.91638795986622068</v>
      </c>
      <c r="AM18" s="284">
        <f>IF(ISNUMBER(((NºAsuntos!I18/NºAsuntos!G18)*11)/factor_trimestre),((NºAsuntos!I18/NºAsuntos!G18)*11)/factor_trimestre," - ")</f>
        <v>0.82481751824817517</v>
      </c>
      <c r="AN18" s="267">
        <f>IF(ISNUMBER('Resol  Asuntos'!D18/NºAsuntos!G18),'Resol  Asuntos'!D18/NºAsuntos!G18," - ")</f>
        <v>3.2846715328467155E-2</v>
      </c>
      <c r="AO18" s="268">
        <f>IF(ISNUMBER((NºAsuntos!C18+NºAsuntos!E18)/NºAsuntos!G18),(NºAsuntos!C18+NºAsuntos!E18)/NºAsuntos!G18," - ")</f>
        <v>1.4124087591240877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2668</v>
      </c>
      <c r="G23" s="1163">
        <f>SUBTOTAL(9,G16:G22)</f>
        <v>2732</v>
      </c>
      <c r="H23" s="1162">
        <f t="shared" ref="H23:O23" si="13">SUBTOTAL(9,H15:H22)</f>
        <v>0</v>
      </c>
      <c r="I23" s="1164">
        <f t="shared" si="13"/>
        <v>0</v>
      </c>
      <c r="J23" s="1164">
        <f t="shared" si="13"/>
        <v>0</v>
      </c>
      <c r="K23" s="1164">
        <f t="shared" si="13"/>
        <v>0</v>
      </c>
      <c r="L23" s="1164">
        <f t="shared" si="13"/>
        <v>84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3297</v>
      </c>
      <c r="X23" s="1164">
        <f t="shared" si="14"/>
        <v>89</v>
      </c>
      <c r="Y23" s="1165">
        <f t="shared" si="14"/>
        <v>3298</v>
      </c>
      <c r="Z23" s="1165">
        <f t="shared" si="14"/>
        <v>0</v>
      </c>
      <c r="AA23" s="1165">
        <f t="shared" si="14"/>
        <v>2762</v>
      </c>
      <c r="AB23" s="1165">
        <f t="shared" si="14"/>
        <v>376</v>
      </c>
      <c r="AC23" s="1165">
        <f t="shared" si="14"/>
        <v>3138</v>
      </c>
      <c r="AD23" s="1165">
        <f t="shared" si="14"/>
        <v>0</v>
      </c>
      <c r="AE23" s="1169">
        <f t="shared" si="14"/>
        <v>0</v>
      </c>
      <c r="AF23" s="1162">
        <f t="shared" si="14"/>
        <v>0</v>
      </c>
      <c r="AG23" s="1170">
        <f t="shared" si="14"/>
        <v>0</v>
      </c>
      <c r="AH23" s="1167">
        <f t="shared" si="14"/>
        <v>0</v>
      </c>
      <c r="AI23" s="1162">
        <f t="shared" si="14"/>
        <v>418</v>
      </c>
      <c r="AJ23" s="1164">
        <f t="shared" si="14"/>
        <v>0</v>
      </c>
      <c r="AK23" s="1167">
        <f t="shared" si="14"/>
        <v>0</v>
      </c>
      <c r="AL23" s="1171">
        <f>IF(ISNUMBER(NºAsuntos!G23/NºAsuntos!E23),NºAsuntos!G23/NºAsuntos!E23," - ")</f>
        <v>0.99818346957311532</v>
      </c>
      <c r="AM23" s="1171">
        <f>IF(ISNUMBER(((NºAsuntos!I23/NºAsuntos!G23)*11)/factor_trimestre),((NºAsuntos!I23/NºAsuntos!G23)*11)/factor_trimestre," - ")</f>
        <v>1.6754625417045796</v>
      </c>
      <c r="AN23" s="1172">
        <f>IF(ISNUMBER('Resol  Asuntos'!D23/NºAsuntos!G23),'Resol  Asuntos'!D23/NºAsuntos!G23," - ")</f>
        <v>0.12678192296026691</v>
      </c>
      <c r="AO23" s="1173">
        <f>IF(ISNUMBER((NºAsuntos!C23+NºAsuntos!E23)/NºAsuntos!G23),(NºAsuntos!C23+NºAsuntos!E23)/NºAsuntos!G23," - ")</f>
        <v>1.8304519259933272</v>
      </c>
      <c r="AP23" s="1174" t="str">
        <f t="shared" si="2"/>
        <v xml:space="preserve"> - </v>
      </c>
      <c r="AQ23" s="1174">
        <f>IF(ISNUMBER((H23-W23+K23)/(F23)),(H23-W23+K23)/(F23)," - ")</f>
        <v>-1.2357571214392804</v>
      </c>
      <c r="AR23" s="1175">
        <f>IF(ISNUMBER((Datos!P23-Datos!Q23)/(Datos!R23-Datos!P23+Datos!Q23)),(Datos!P23-Datos!Q23)/(Datos!R23-Datos!P23+Datos!Q23)," - ")</f>
        <v>-1.3123359580052493E-2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2706</v>
      </c>
      <c r="G31" s="1118">
        <f t="shared" si="20"/>
        <v>2770</v>
      </c>
      <c r="H31" s="1117">
        <f t="shared" si="20"/>
        <v>0</v>
      </c>
      <c r="I31" s="1119">
        <f t="shared" si="20"/>
        <v>0</v>
      </c>
      <c r="J31" s="1119">
        <f t="shared" si="20"/>
        <v>0</v>
      </c>
      <c r="K31" s="1180">
        <f t="shared" si="20"/>
        <v>0</v>
      </c>
      <c r="L31" s="1119">
        <f t="shared" si="20"/>
        <v>663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3318</v>
      </c>
      <c r="X31" s="1118">
        <f t="shared" si="21"/>
        <v>1304</v>
      </c>
      <c r="Y31" s="1125">
        <f t="shared" si="21"/>
        <v>4534</v>
      </c>
      <c r="Z31" s="1125">
        <f t="shared" si="21"/>
        <v>0</v>
      </c>
      <c r="AA31" s="1125">
        <f t="shared" si="21"/>
        <v>2801</v>
      </c>
      <c r="AB31" s="1125">
        <f t="shared" si="21"/>
        <v>3942</v>
      </c>
      <c r="AC31" s="1125">
        <f t="shared" si="21"/>
        <v>3272</v>
      </c>
      <c r="AD31" s="1125">
        <f t="shared" si="21"/>
        <v>0</v>
      </c>
      <c r="AE31" s="1127">
        <f t="shared" si="21"/>
        <v>0</v>
      </c>
      <c r="AF31" s="1128">
        <f t="shared" si="21"/>
        <v>0</v>
      </c>
      <c r="AG31" s="1129">
        <f t="shared" si="21"/>
        <v>0</v>
      </c>
      <c r="AH31" s="1127">
        <f t="shared" si="21"/>
        <v>0</v>
      </c>
      <c r="AI31" s="1117">
        <f t="shared" si="21"/>
        <v>1180</v>
      </c>
      <c r="AJ31" s="1117">
        <f t="shared" si="21"/>
        <v>0</v>
      </c>
      <c r="AK31" s="1127">
        <f t="shared" si="21"/>
        <v>0</v>
      </c>
      <c r="AL31" s="1183">
        <f>IF(ISNUMBER(NºAsuntos!G31/NºAsuntos!E31),NºAsuntos!G31/NºAsuntos!E31," - ")</f>
        <v>1.016312170158324</v>
      </c>
      <c r="AM31" s="1184">
        <f>IF(ISNUMBER(((NºAsuntos!I31/NºAsuntos!G31)*11)/factor_trimestre),((NºAsuntos!I31/NºAsuntos!G31)*11)/factor_trimestre," - ")</f>
        <v>2.3257277734067663</v>
      </c>
      <c r="AN31" s="1184">
        <f>IF(ISNUMBER('Resol  Asuntos'!D31/NºAsuntos!G31),'Resol  Asuntos'!D31/NºAsuntos!G31," - ")</f>
        <v>0.18568056648308418</v>
      </c>
      <c r="AO31" s="1185">
        <f>IF(ISNUMBER((NºAsuntos!C31+NºAsuntos!E31)/NºAsuntos!G31),(NºAsuntos!C31+NºAsuntos!E31)/NºAsuntos!G31," - ")</f>
        <v>2.159087332808812</v>
      </c>
      <c r="AP31" s="1186" t="str">
        <f t="shared" si="2"/>
        <v xml:space="preserve"> - </v>
      </c>
      <c r="AQ31" s="1187">
        <f>IF(OR(ISNUMBER(FIND("01",Criterios!A8,1)),ISNUMBER(FIND("02",Criterios!A8,1)),ISNUMBER(FIND("03",Criterios!A8,1)),ISNUMBER(FIND("04",Criterios!A8,1))),(I31-W31+K31)/(F31-K31),(H31-W31+K31)/(F31-K31))</f>
        <v>-1.2261640798226163</v>
      </c>
      <c r="AR31" s="1188">
        <f>IF(ISNUMBER((Datos!P31-Datos!Q31)/(Datos!R31-Datos!P31+Datos!Q31)),(Datos!P31-Datos!Q31)/(Datos!R31-Datos!P31+Datos!Q31)," - ")</f>
        <v>-0.1398647174339952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2.3619795444544081</v>
      </c>
      <c r="F33" s="276">
        <f>IF(ISNUMBER(STDEV(F8:F30)),STDEV(F8:F30),"-")</f>
        <v>1293.8587543431765</v>
      </c>
      <c r="G33" s="277">
        <f>IF(ISNUMBER(STDEV(G8:G30)),STDEV(G8:G30),"-")</f>
        <v>1231.6176354697102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1443.2173383500788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297.67543846724516</v>
      </c>
      <c r="AJ33" s="276">
        <f t="shared" si="25"/>
        <v>0</v>
      </c>
      <c r="AK33" s="278">
        <f t="shared" si="25"/>
        <v>0</v>
      </c>
      <c r="AL33" s="273">
        <f t="shared" si="25"/>
        <v>5.8659600739597369E-2</v>
      </c>
      <c r="AM33" s="274">
        <f t="shared" si="25"/>
        <v>1.0163151560423063</v>
      </c>
      <c r="AN33" s="274">
        <f t="shared" si="25"/>
        <v>0.15548160841316386</v>
      </c>
      <c r="AO33" s="275">
        <f t="shared" si="25"/>
        <v>0.50992159197362408</v>
      </c>
      <c r="AP33" s="317" t="str">
        <f t="shared" si="25"/>
        <v>-</v>
      </c>
      <c r="AQ33" s="318">
        <f t="shared" si="25"/>
        <v>0.48304270349776984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MrsWyrA58spc46ignUD16Zwev+DLIT9Yd5U2KAmYBZyrSBk1zyT9YzpJ5fRgbxfKEzSNqr/1xDM2fXQPWL7OA==" saltValue="QqhPvP2eVMPO+LTkTEqx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GIRONA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0.34090909090909088</v>
      </c>
      <c r="I9" s="395">
        <f>IF(ISNUMBER((Tasas!C9-Datos!BE9)/Datos!BE9),(Tasas!C9-Datos!BE9)/Datos!BE9," - ")</f>
        <v>-0.32834619490086969</v>
      </c>
      <c r="J9" s="394">
        <f>IF(ISNUMBER((Tasas!D9-Datos!BF9)/Datos!BF9),(Tasas!D9-Datos!BF9)/Datos!BF9," - ")</f>
        <v>-0.43304412641621942</v>
      </c>
      <c r="K9" s="396">
        <f>IF(ISNUMBER((Tasas!E9-Datos!BG9)/Datos!BG9),(Tasas!E9-Datos!BG9)/Datos!BG9," - ")</f>
        <v>-0.22787054465966361</v>
      </c>
      <c r="M9" t="e">
        <f>IF(Monitorios="SI",Datos!CE9,0)</f>
        <v>#REF!</v>
      </c>
      <c r="N9" t="e">
        <f>IF(Monitorios="SI",Datos!CF9,0)</f>
        <v>#REF!</v>
      </c>
      <c r="O9" t="e">
        <f>IF(Monitorios="SI",Datos!CG9,0)</f>
        <v>#REF!</v>
      </c>
      <c r="P9" t="e">
        <f>IF(Monitorios="SI",Datos!CH9,0)</f>
        <v>#REF!</v>
      </c>
      <c r="Q9">
        <f>IF(J_V="SI",0,Datos!AG9)</f>
        <v>120</v>
      </c>
      <c r="R9">
        <f>IF(J_V="SI",0,Datos!AH9)</f>
        <v>86</v>
      </c>
      <c r="S9">
        <f>IF(J_V="SI",0,Datos!AI9)</f>
        <v>90</v>
      </c>
      <c r="T9">
        <f>IF(J_V="SI",0,Datos!AJ9)</f>
        <v>116</v>
      </c>
    </row>
    <row r="10" spans="2:20" ht="14.25">
      <c r="B10" s="300" t="s">
        <v>321</v>
      </c>
      <c r="C10" s="7" t="str">
        <f>Datos!A10</f>
        <v>Jdos. Violencia contra la mujer</v>
      </c>
      <c r="D10" s="397">
        <f>IF(ISNUMBER((Datos!I10-Datos!S10)/Datos!S10),(Datos!I10-Datos!S10)/Datos!S10," - ")</f>
        <v>0.1875</v>
      </c>
      <c r="E10" s="393">
        <f>IF(ISNUMBER((Datos!J10-Datos!T10)/Datos!T10),(Datos!J10-Datos!T10)/Datos!T10," - ")</f>
        <v>-0.45</v>
      </c>
      <c r="F10" s="393">
        <f>IF(ISNUMBER((Datos!K10-Datos!U10)/Datos!U10),(Datos!K10-Datos!U10)/Datos!U10," - ")</f>
        <v>-0.41666666666666669</v>
      </c>
      <c r="G10" s="394">
        <f>IF(ISNUMBER((Datos!L10-Datos!V10)/Datos!V10),(Datos!L10-Datos!V10)/Datos!V10," - ")</f>
        <v>8.3333333333333329E-2</v>
      </c>
      <c r="H10" s="244">
        <f>IF(ISNUMBER((Datos!M10-Datos!W10)/Datos!W10),(Datos!M10-Datos!W10)/Datos!W10," - ")</f>
        <v>-0.21428571428571427</v>
      </c>
      <c r="I10" s="395">
        <f>IF(ISNUMBER((Tasas!C10-Datos!BE10)/Datos!BE10),(Tasas!C10-Datos!BE10)/Datos!BE10," - ")</f>
        <v>0.85714285714285721</v>
      </c>
      <c r="J10" s="394">
        <f>IF(ISNUMBER((Tasas!D10-Datos!BF10)/Datos!BF10),(Tasas!D10-Datos!BF10)/Datos!BF10," - ")</f>
        <v>0.34693877551020413</v>
      </c>
      <c r="K10" s="396">
        <f>IF(ISNUMBER((Tasas!E10-Datos!BG10)/Datos!BG10),(Tasas!E10-Datos!BG10)/Datos!BG10," - ")</f>
        <v>0.4285714285714286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v>
      </c>
      <c r="I11" s="395">
        <f>IF(ISNUMBER((Tasas!C11-Datos!BE11)/Datos!BE11),(Tasas!C11-Datos!BE11)/Datos!BE11," - ")</f>
        <v>0.29908793400592554</v>
      </c>
      <c r="J11" s="394">
        <f>IF(ISNUMBER((Tasas!D11-Datos!BF11)/Datos!BF11),(Tasas!D11-Datos!BF11)/Datos!BF11," - ")</f>
        <v>-0.63352862285593292</v>
      </c>
      <c r="K11" s="396">
        <f>IF(ISNUMBER((Tasas!E11-Datos!BG11)/Datos!BG11),(Tasas!E11-Datos!BG11)/Datos!BG11," - ")</f>
        <v>0.15734141779641334</v>
      </c>
      <c r="M11" t="e">
        <f>IF(Monitorios="SI",Datos!CE11,0)</f>
        <v>#REF!</v>
      </c>
      <c r="N11" t="e">
        <f>IF(Monitorios="SI",Datos!CF11,0)</f>
        <v>#REF!</v>
      </c>
      <c r="O11" t="e">
        <f>IF(Monitorios="SI",Datos!CG11,0)</f>
        <v>#REF!</v>
      </c>
      <c r="P11" t="e">
        <f>IF(Monitorios="SI",Datos!CH11,0)</f>
        <v>#REF!</v>
      </c>
      <c r="Q11">
        <f>IF(J_V="SI",0,Datos!AG11)</f>
        <v>169</v>
      </c>
      <c r="R11">
        <f>IF(J_V="SI",0,Datos!AH11)</f>
        <v>223</v>
      </c>
      <c r="S11">
        <f>IF(J_V="SI",0,Datos!AI11)</f>
        <v>235</v>
      </c>
      <c r="T11">
        <f>IF(J_V="SI",0,Datos!AJ11)</f>
        <v>157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0.23300970873786409</v>
      </c>
      <c r="I14" s="402">
        <f>IF(ISNUMBER((Tasas!C14-Datos!BE14)/Datos!BE14),(Tasas!C14-Datos!BE14)/Datos!BE14," - ")</f>
        <v>-0.24032751289655441</v>
      </c>
      <c r="J14" s="400">
        <f>IF(ISNUMBER((Tasas!D14-Datos!BF14)/Datos!BF14),(Tasas!D14-Datos!BF14)/Datos!BF14," - ")</f>
        <v>-0.48019272329172236</v>
      </c>
      <c r="K14" s="403">
        <f>IF(ISNUMBER((Tasas!E14-Datos!BG14)/Datos!BG14),(Tasas!E14-Datos!BG14)/Datos!BG14," - ")</f>
        <v>-0.16000908854584125</v>
      </c>
      <c r="M14" t="e">
        <f>IF(Monitorios="SI",Datos!CE14,0)</f>
        <v>#REF!</v>
      </c>
      <c r="N14" t="e">
        <f>IF(Monitorios="SI",Datos!CF14,0)</f>
        <v>#REF!</v>
      </c>
      <c r="O14" t="e">
        <f>IF(Monitorios="SI",Datos!CG14,0)</f>
        <v>#REF!</v>
      </c>
      <c r="P14" t="e">
        <f>IF(Monitorios="SI",Datos!CH14,0)</f>
        <v>#REF!</v>
      </c>
      <c r="Q14">
        <f>IF(J_V="SI",0,Datos!AG14)</f>
        <v>289</v>
      </c>
      <c r="R14">
        <f>IF(J_V="SI",0,Datos!AH14)</f>
        <v>309</v>
      </c>
      <c r="S14">
        <f>IF(J_V="SI",0,Datos!AI14)</f>
        <v>325</v>
      </c>
      <c r="T14">
        <f>IF(J_V="SI",0,Datos!AJ14)</f>
        <v>273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0.56331360946745557</v>
      </c>
      <c r="E16" s="393">
        <f>IF(ISNUMBER(
   IF(D_I="SI",(Datos!J16-Datos!T16)/Datos!T16,(Datos!J16+Datos!AD16-(Datos!T16+Datos!AL16))/(Datos!T16+Datos!AL16))
     ),IF(D_I="SI",(Datos!J16-Datos!T16)/Datos!T16,(Datos!J16+Datos!AD16-(Datos!T16+Datos!AL16))/(Datos!T16+Datos!AL16))," - ")</f>
        <v>4.2693509198195069E-2</v>
      </c>
      <c r="F16" s="393">
        <f>IF(ISNUMBER(
   IF(D_I="SI",(Datos!K16-Datos!U16)/Datos!U16,(Datos!K16+Datos!AE16-(Datos!U16+Datos!AM16))/(Datos!U16+Datos!AM16))
     ),IF(D_I="SI",(Datos!K16-Datos!U16)/Datos!U16,(Datos!K16+Datos!AE16-(Datos!U16+Datos!AM16))/(Datos!U16+Datos!AM16))," - ")</f>
        <v>8.9762076423936549E-2</v>
      </c>
      <c r="G16" s="394">
        <f>IF(ISNUMBER(
   IF(D_I="SI",(Datos!L16-Datos!V16)/Datos!V16,(Datos!L16+Datos!AF16-(Datos!V16+Datos!AN16))/(Datos!V16+Datos!AN16))
     ),IF(D_I="SI",(Datos!L16-Datos!V16)/Datos!V16,(Datos!L16+Datos!AF16-(Datos!V16+Datos!AN16))/(Datos!V16+Datos!AN16))," - ")</f>
        <v>0.43468834688346886</v>
      </c>
      <c r="H16" s="244">
        <f>IF(ISNUMBER((Datos!M16-Datos!W16)/Datos!W16),(Datos!M16-Datos!W16)/Datos!W16," - ")</f>
        <v>0.29841269841269841</v>
      </c>
      <c r="I16" s="395">
        <f>IF(ISNUMBER((Tasas!C16-Datos!BE16)/Datos!BE16),(Tasas!C16-Datos!BE16)/Datos!BE16," - ")</f>
        <v>0.31651520815572015</v>
      </c>
      <c r="J16" s="394">
        <f>IF(ISNUMBER((Tasas!D16-Datos!BF16)/Datos!BF16),(Tasas!D16-Datos!BF16)/Datos!BF16," - ")</f>
        <v>0.19146438154046505</v>
      </c>
      <c r="K16" s="396">
        <f>IF(ISNUMBER((Tasas!E16-Datos!BG16)/Datos!BG16),(Tasas!E16-Datos!BG16)/Datos!BG16," - ")</f>
        <v>0.13343850431892648</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7.3170731707317069E-2</v>
      </c>
      <c r="E18" s="393">
        <f>IF(ISNUMBER(
   IF(D_I="SI",(Datos!J18-Datos!T18)/Datos!T18,(Datos!J18+Datos!AD18-(Datos!T18+Datos!AL18))/(Datos!T18+Datos!AL18))
     ),IF(D_I="SI",(Datos!J18-Datos!T18)/Datos!T18,(Datos!J18+Datos!AD18-(Datos!T18+Datos!AL18))/(Datos!T18+Datos!AL18))," - ")</f>
        <v>0.16342412451361868</v>
      </c>
      <c r="F18" s="393">
        <f>IF(ISNUMBER(
   IF(D_I="SI",(Datos!K18-Datos!U18)/Datos!U18,(Datos!K18+Datos!AE18-(Datos!U18+Datos!AM18))/(Datos!U18+Datos!AM18))
     ),IF(D_I="SI",(Datos!K18-Datos!U18)/Datos!U18,(Datos!K18+Datos!AE18-(Datos!U18+Datos!AM18))/(Datos!U18+Datos!AM18))," - ")</f>
        <v>0.16595744680851063</v>
      </c>
      <c r="G18" s="394">
        <f>IF(ISNUMBER(
   IF(D_I="SI",(Datos!L18-Datos!V18)/Datos!V18,(Datos!L18+Datos!AF18-(Datos!V18+Datos!AN18))/(Datos!V18+Datos!AN18))
     ),IF(D_I="SI",(Datos!L18-Datos!V18)/Datos!V18,(Datos!L18+Datos!AF18-(Datos!V18+Datos!AN18))/(Datos!V18+Datos!AN18))," - ")</f>
        <v>8.6538461538461536E-2</v>
      </c>
      <c r="H18" s="244">
        <f>IF(ISNUMBER((Datos!M18-Datos!W18)/Datos!W18),(Datos!M18-Datos!W18)/Datos!W18," - ")</f>
        <v>3.5</v>
      </c>
      <c r="I18" s="395">
        <f>IF(ISNUMBER((Tasas!C18-Datos!BE18)/Datos!BE18),(Tasas!C18-Datos!BE18)/Datos!BE18," - ")</f>
        <v>-6.8114823133071253E-2</v>
      </c>
      <c r="J18" s="394">
        <f>IF(ISNUMBER((Tasas!D18-Datos!BF18)/Datos!BF18),(Tasas!D18-Datos!BF18)/Datos!BF18," - ")</f>
        <v>2.8594890510948909</v>
      </c>
      <c r="K18" s="396">
        <f>IF(ISNUMBER((Tasas!E18-Datos!BG18)/Datos!BG18),(Tasas!E18-Datos!BG18)/Datos!BG18," - ")</f>
        <v>-2.0896582908080781E-2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0.54002254791431792</v>
      </c>
      <c r="E23" s="399">
        <f>IF(ISNUMBER(
   IF(D_I="SI",(Datos!J23-Datos!T23)/Datos!T23,(Datos!J23+Datos!AD23-(Datos!T23+Datos!AL23))/(Datos!T23+Datos!AL23))
     ),IF(D_I="SI",(Datos!J23-Datos!T23)/Datos!T23,(Datos!J23+Datos!AD23-(Datos!T23+Datos!AL23))/(Datos!T23+Datos!AL23))," - ")</f>
        <v>5.2581261950286805E-2</v>
      </c>
      <c r="F23" s="399">
        <f>IF(ISNUMBER(
   IF(D_I="SI",(Datos!K23-Datos!U23)/Datos!U23,(Datos!K23+Datos!AE23-(Datos!U23+Datos!AM23))/(Datos!U23+Datos!AM23))
     ),IF(D_I="SI",(Datos!K23-Datos!U23)/Datos!U23,(Datos!K23+Datos!AE23-(Datos!U23+Datos!AM23))/(Datos!U23+Datos!AM23))," - ")</f>
        <v>9.5712861415752748E-2</v>
      </c>
      <c r="G23" s="400">
        <f>IF(ISNUMBER(
   IF(D_I="SI",(Datos!L23-Datos!V23)/Datos!V23,(Datos!L23+Datos!AF23-(Datos!V23+Datos!AN23))/(Datos!V23+Datos!AN23))
     ),IF(D_I="SI",(Datos!L23-Datos!V23)/Datos!V23,(Datos!L23+Datos!AF23-(Datos!V23+Datos!AN23))/(Datos!V23+Datos!AN23))," - ")</f>
        <v>0.41568426447975398</v>
      </c>
      <c r="H23" s="401">
        <f>IF(ISNUMBER((Datos!M23-Datos!W23)/Datos!W23),(Datos!M23-Datos!W23)/Datos!W23," - ")</f>
        <v>0.31861198738170349</v>
      </c>
      <c r="I23" s="402">
        <f>IF(ISNUMBER((Tasas!C23-Datos!BE23)/Datos!BE23),(Tasas!C23-Datos!BE23)/Datos!BE23," - ")</f>
        <v>0.29202121680909293</v>
      </c>
      <c r="J23" s="400">
        <f>IF(ISNUMBER((Tasas!D23-Datos!BF23)/Datos!BF23),(Tasas!D23-Datos!BF23)/Datos!BF23," - ")</f>
        <v>0.2034284106859405</v>
      </c>
      <c r="K23" s="403">
        <f>IF(ISNUMBER((Tasas!E23-Datos!BG23)/Datos!BG23),(Tasas!E23-Datos!BG23)/Datos!BG23," - ")</f>
        <v>0.12130086427400678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0.2343801652892562</v>
      </c>
      <c r="E31" s="409">
        <f>IF(ISNUMBER(
   IF(J_V="SI",(Datos!J31-Datos!T31)/Datos!T31,(Datos!J31+Datos!Z31-(Datos!T31+Datos!AH31))/(Datos!T31+Datos!AH31))
     ),IF(J_V="SI",(Datos!J31-Datos!T31)/Datos!T31,(Datos!J31+Datos!Z31-(Datos!T31+Datos!AH31))/(Datos!T31+Datos!AH31))," - ")</f>
        <v>8.6911176777333565E-2</v>
      </c>
      <c r="F31" s="409">
        <f>IF(ISNUMBER(
   IF(J_V="SI",(Datos!K31-Datos!U31)/Datos!U31,(Datos!K31+Datos!AA31-(Datos!U31+Datos!AI31))/(Datos!U31+Datos!AI31))
     ),IF(J_V="SI",(Datos!K31-Datos!U31)/Datos!U31,(Datos!K31+Datos!AA31-(Datos!U31+Datos!AI31))/(Datos!U31+Datos!AI31))," - ")</f>
        <v>0.19634789156626506</v>
      </c>
      <c r="G31" s="410">
        <f>IF(ISNUMBER(
   IF(J_V="SI",(Datos!L31-Datos!V31)/Datos!V31,(Datos!L31+Datos!AB31-(Datos!V31+Datos!AJ31))/(Datos!V31+Datos!AJ31))
     ),IF(J_V="SI",(Datos!L31-Datos!V31)/Datos!V31,(Datos!L31+Datos!AB31-(Datos!V31+Datos!AJ31))/(Datos!V31+Datos!AJ31))," - ")</f>
        <v>0.13014222358158739</v>
      </c>
      <c r="H31" s="411">
        <f>IF(ISNUMBER((Datos!M31-Datos!W31)/Datos!W31),(Datos!M31-Datos!W31)/Datos!W31," - ")</f>
        <v>0.26203208556149732</v>
      </c>
      <c r="I31" s="408">
        <f>IF(ISNUMBER((Tasas!C31-Datos!BE31)/Datos!BE31),(Tasas!C31-Datos!BE31)/Datos!BE31," - ")</f>
        <v>-5.5339812483809273E-2</v>
      </c>
      <c r="J31" s="409">
        <f>IF(ISNUMBER((Tasas!D31-Datos!BF31)/Datos!BF31),(Tasas!D31-Datos!BF31)/Datos!BF31," - ")</f>
        <v>-0.30588658046576844</v>
      </c>
      <c r="K31" s="410">
        <f>IF(ISNUMBER((Tasas!E31-Datos!BG31)/Datos!BG31),(Tasas!E31-Datos!BG31)/Datos!BG31," - ")</f>
        <v>-2.8291797688688558E-2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0.26332196174512734</v>
      </c>
      <c r="E33" s="303">
        <f t="shared" si="1"/>
        <v>0.27364572058214176</v>
      </c>
      <c r="F33" s="303">
        <f t="shared" si="1"/>
        <v>0.26913892916671756</v>
      </c>
      <c r="G33" s="304">
        <f t="shared" si="1"/>
        <v>0.20493961716288317</v>
      </c>
      <c r="H33" s="310">
        <f t="shared" si="1"/>
        <v>1.2913309393862735</v>
      </c>
      <c r="I33" s="302">
        <f t="shared" si="1"/>
        <v>0.40785038733784723</v>
      </c>
      <c r="J33" s="303">
        <f t="shared" si="1"/>
        <v>1.196629191838966</v>
      </c>
      <c r="K33" s="304">
        <f t="shared" si="1"/>
        <v>0.22070675024731873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bDv2QJrs2+DmWw0XzpnkDAK1DGoI2dgUxXiZv1vYQsaGTAwagvOHgv1K0Fh3DLV3jYKQQ7meiG2sGiCw82iJQ==" saltValue="n2YJ8EvsP7w1crqauv4r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